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RT5LPpbgbarUg/KCthowWjboyft79AFVDBa25J0nZGB4OJ5E4+AhAhLbkAtx5Ndjkpdqs0UMI3/XpWdsIV+8aA==" workbookSaltValue="Ve7Rm+AjW9L5HU6Og5g+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AJ32" i="20"/>
  <c r="G30" i="14"/>
  <c r="G23" i="14"/>
  <c r="U18" i="11"/>
  <c r="AX32" i="20"/>
  <c r="Y32" i="20"/>
  <c r="L32" i="20"/>
  <c r="AG32" i="20"/>
  <c r="H32" i="20"/>
  <c r="T32" i="21"/>
  <c r="F32" i="20"/>
  <c r="AF32" i="20"/>
  <c r="G26" i="14"/>
  <c r="S32" i="20"/>
  <c r="K32" i="20"/>
  <c r="AQ32" i="21"/>
  <c r="O17" i="11"/>
  <c r="W32" i="20"/>
  <c r="BF16" i="8" l="1"/>
  <c r="U13" i="16"/>
  <c r="P13" i="14"/>
  <c r="R13" i="14" s="1"/>
  <c r="R13" i="17"/>
  <c r="R8" i="9"/>
  <c r="S10" i="14" s="1"/>
  <c r="V10" i="14" s="1"/>
  <c r="I13" i="14"/>
  <c r="S18" i="14"/>
  <c r="V18"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0" i="12" l="1"/>
  <c r="I16" i="12"/>
  <c r="K9" i="12"/>
  <c r="BH26" i="16"/>
  <c r="BF23" i="13"/>
  <c r="AM17" i="11"/>
  <c r="AQ26" i="21"/>
  <c r="AO26" i="17"/>
  <c r="X12" i="16"/>
  <c r="L29" i="2"/>
  <c r="L21" i="2"/>
  <c r="L13" i="2"/>
  <c r="AZ28" i="11"/>
  <c r="AZ20" i="11"/>
  <c r="V21" i="16"/>
  <c r="U10" i="21"/>
  <c r="AA9" i="16"/>
  <c r="AA20" i="16"/>
  <c r="X21" i="17"/>
  <c r="AA10" i="16"/>
  <c r="T17" i="11"/>
  <c r="V13" i="16"/>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R22" i="14"/>
  <c r="R11" i="14"/>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BJ11" i="11"/>
  <c r="R10" i="21"/>
  <c r="BJ20" i="11"/>
  <c r="BG16" i="11"/>
  <c r="BL13" i="11"/>
  <c r="P13" i="11" s="1"/>
  <c r="BM16" i="11"/>
  <c r="BJ25" i="11"/>
  <c r="AZ16" i="11"/>
  <c r="AZ23" i="11" s="1"/>
  <c r="BU10" i="17"/>
  <c r="BU22" i="17"/>
  <c r="BU20" i="17"/>
  <c r="BV29" i="16"/>
  <c r="BU17" i="17"/>
  <c r="S22" i="17"/>
  <c r="S16" i="16"/>
  <c r="S23" i="16" s="1"/>
  <c r="BF12" i="11"/>
  <c r="BH25" i="16"/>
  <c r="X16" i="16"/>
  <c r="X23" i="16" s="1"/>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P17" i="11" s="1"/>
  <c r="S18" i="17"/>
  <c r="BM21" i="11"/>
  <c r="Q21" i="11" s="1"/>
  <c r="BM9" i="11"/>
  <c r="AO25" i="17"/>
  <c r="BH12" i="16"/>
  <c r="BJ17" i="11"/>
  <c r="BK22" i="11"/>
  <c r="BL17" i="11"/>
  <c r="BH22" i="11"/>
  <c r="X12" i="17"/>
  <c r="L22" i="2"/>
  <c r="X22" i="16"/>
  <c r="S16" i="17"/>
  <c r="S17" i="17"/>
  <c r="L12" i="2"/>
  <c r="X19" i="16"/>
  <c r="X10" i="21"/>
  <c r="L20" i="2"/>
  <c r="U9" i="17"/>
  <c r="U31" i="17" s="1"/>
  <c r="V10" i="16"/>
  <c r="V9" i="16"/>
  <c r="X13" i="16"/>
  <c r="BH9" i="16"/>
  <c r="Q18" i="20"/>
  <c r="Q23" i="20" s="1"/>
  <c r="BF28" i="11"/>
  <c r="BF18" i="11"/>
  <c r="BG20" i="11"/>
  <c r="BG22" i="11"/>
  <c r="BK29" i="11"/>
  <c r="AZ19" i="11"/>
  <c r="V12" i="21"/>
  <c r="BK11" i="11"/>
  <c r="AZ18" i="11"/>
  <c r="AP10" i="21"/>
  <c r="BH20" i="16"/>
  <c r="BH22" i="16"/>
  <c r="BH13" i="11"/>
  <c r="BH18" i="11"/>
  <c r="BH23" i="11" s="1"/>
  <c r="AO28" i="17"/>
  <c r="BU16" i="17"/>
  <c r="BW19" i="20"/>
  <c r="X20" i="16"/>
  <c r="BW25" i="20"/>
  <c r="U13" i="17"/>
  <c r="BW29" i="20"/>
  <c r="BW22" i="20"/>
  <c r="BW33" i="20" s="1"/>
  <c r="S11" i="17"/>
  <c r="BV20" i="16"/>
  <c r="S25" i="17"/>
  <c r="BF20" i="11"/>
  <c r="AZ11" i="11"/>
  <c r="P16" i="17"/>
  <c r="P23" i="17" s="1"/>
  <c r="P31" i="17" s="1"/>
  <c r="BL20" i="11"/>
  <c r="BL16" i="11"/>
  <c r="BH21" i="11"/>
  <c r="BK20" i="11"/>
  <c r="BK23" i="11" s="1"/>
  <c r="AZ25" i="11"/>
  <c r="AZ30" i="11" s="1"/>
  <c r="BJ10" i="11"/>
  <c r="BK17" i="11"/>
  <c r="Q16" i="17"/>
  <c r="Q23" i="17" s="1"/>
  <c r="Q31" i="17" s="1"/>
  <c r="BM18" i="11"/>
  <c r="BF16" i="11"/>
  <c r="BH17" i="11"/>
  <c r="BL22" i="11"/>
  <c r="AQ12" i="21"/>
  <c r="BI22" i="11"/>
  <c r="BH25" i="11"/>
  <c r="BK10" i="11"/>
  <c r="BI21" i="11"/>
  <c r="L10" i="2"/>
  <c r="L28" i="2"/>
  <c r="X21" i="20"/>
  <c r="L16" i="2"/>
  <c r="L17" i="2"/>
  <c r="L18" i="2"/>
  <c r="AA11" i="16"/>
  <c r="L9" i="2"/>
  <c r="V25" i="16"/>
  <c r="R28" i="14"/>
  <c r="R18" i="14"/>
  <c r="S28" i="14"/>
  <c r="V2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P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S14" i="14" l="1"/>
  <c r="BI23" i="11"/>
  <c r="Q31" i="20"/>
  <c r="AQ17" i="11"/>
  <c r="P25" i="11"/>
  <c r="BJ23" i="11"/>
  <c r="AZ26"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<sst xmlns="http://schemas.openxmlformats.org/spreadsheetml/2006/main" count="2682" uniqueCount="1192">
  <si>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</si>
  <si>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</si>
  <si>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</si>
  <si>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</si>
  <si>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</si>
  <si>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</si>
  <si>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</si>
  <si>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</si>
  <si>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</si>
  <si>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</si>
  <si>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</si>
  <si>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</si>
  <si>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</si>
  <si>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</si>
  <si>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</si>
  <si>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</si>
  <si>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</si>
  <si>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</si>
  <si>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</si>
  <si>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</si>
  <si>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</si>
  <si>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</si>
  <si>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</si>
  <si>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</si>
  <si>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</si>
  <si>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</si>
  <si>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</si>
  <si>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</si>
  <si>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</si>
  <si>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</si>
  <si>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</si>
  <si>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</si>
  <si>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</si>
  <si>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</si>
  <si>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</si>
  <si>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</si>
  <si>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</si>
  <si>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</si>
  <si>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</si>
  <si>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</si>
  <si>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</si>
  <si>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</si>
  <si>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</si>
  <si>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</si>
  <si>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</si>
  <si>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</si>
  <si>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</si>
  <si>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</si>
  <si>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</si>
  <si>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</si>
  <si>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</si>
  <si>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</si>
  <si>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</si>
  <si>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</si>
  <si>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</si>
  <si>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</si>
  <si>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</si>
  <si>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</si>
  <si>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</si>
  <si>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</si>
  <si>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</si>
  <si>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</si>
  <si>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</si>
  <si>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</si>
  <si>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</si>
  <si>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</si>
  <si>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</si>
  <si>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</si>
  <si>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</si>
  <si>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</si>
  <si>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</si>
  <si>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</si>
  <si>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</si>
  <si>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</si>
  <si>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</si>
  <si>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</si>
  <si>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</si>
  <si>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</si>
  <si>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</si>
  <si>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</si>
  <si>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</si>
  <si>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</si>
  <si>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</si>
  <si>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</si>
  <si>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</si>
  <si>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</si>
  <si>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</si>
  <si>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</si>
  <si>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</si>
  <si>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</si>
  <si>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</si>
  <si>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</si>
  <si>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</si>
  <si>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</si>
  <si>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</si>
  <si>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</si>
  <si>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</si>
  <si>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</si>
  <si>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</si>
  <si>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</si>
  <si>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</si>
  <si>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</si>
  <si>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</si>
  <si>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</si>
  <si>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</si>
  <si>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</si>
  <si>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</si>
  <si>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</si>
  <si>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</si>
  <si>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</si>
  <si>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</si>
  <si>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</si>
  <si>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</si>
  <si>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</si>
  <si>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</si>
  <si>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</si>
  <si>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</si>
  <si>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</si>
  <si>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</si>
  <si>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</si>
  <si>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</si>
  <si>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</si>
  <si>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</si>
  <si>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</si>
  <si>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</si>
  <si>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</si>
  <si>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</si>
  <si>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</si>
  <si>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</si>
  <si>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</si>
  <si>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</si>
  <si>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</si>
  <si>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</si>
  <si>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</si>
  <si>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</si>
  <si>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</si>
  <si>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</si>
  <si>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</si>
  <si>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</si>
  <si>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</si>
  <si>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</si>
  <si>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</si>
  <si>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</si>
  <si>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</si>
  <si>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</si>
  <si>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</si>
  <si>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</si>
  <si>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</si>
  <si>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</si>
  <si>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</si>
  <si>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</si>
  <si>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</si>
  <si>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</si>
  <si>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</si>
  <si>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</si>
  <si>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</si>
  <si>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</si>
  <si>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</si>
  <si>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</si>
  <si>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</si>
  <si>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</si>
  <si>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</si>
  <si>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</si>
  <si>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</si>
  <si>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</si>
  <si>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</si>
  <si>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</si>
  <si>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</si>
  <si>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</si>
  <si>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</si>
  <si>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</si>
  <si>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</si>
  <si>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</si>
  <si>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</si>
  <si>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</si>
  <si>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</si>
  <si>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</si>
  <si>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</si>
  <si>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</si>
  <si>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</si>
  <si>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</si>
  <si>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</si>
  <si>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</si>
  <si>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</si>
  <si>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</si>
  <si>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</si>
  <si>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</si>
  <si>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</si>
  <si>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</si>
  <si>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</si>
  <si>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</si>
  <si>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</si>
  <si>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</si>
  <si>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</si>
  <si>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</si>
  <si>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</si>
  <si>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</si>
  <si>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</si>
  <si>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</si>
  <si>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</si>
  <si>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</si>
  <si>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</si>
  <si>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</si>
  <si>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</si>
  <si>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</si>
  <si>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</si>
  <si>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</si>
  <si>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</si>
  <si>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</si>
  <si>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</si>
  <si>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</si>
  <si>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</si>
  <si>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</si>
  <si>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</si>
  <si>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</si>
  <si>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</si>
  <si>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</si>
  <si>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</si>
  <si>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</si>
  <si>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</si>
  <si>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</si>
  <si>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</si>
  <si>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</si>
  <si>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</si>
  <si>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</si>
  <si>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</si>
  <si>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</si>
  <si>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</si>
  <si>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</si>
  <si>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</si>
  <si>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</si>
  <si>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</si>
  <si>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</si>
  <si>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</si>
  <si>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</si>
  <si>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</si>
  <si>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</si>
  <si>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</si>
  <si>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</si>
  <si>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</si>
  <si>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</si>
  <si>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</si>
  <si>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</si>
  <si>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</si>
  <si>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</si>
  <si>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</si>
  <si>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</si>
  <si>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</si>
  <si>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</si>
  <si>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</si>
  <si>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</si>
  <si>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</si>
  <si>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</si>
  <si>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</si>
  <si>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</si>
  <si>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</si>
  <si>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</si>
  <si>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</si>
  <si>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</si>
  <si>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</si>
  <si>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</si>
  <si>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</si>
  <si>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</si>
  <si>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</si>
  <si>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</si>
  <si>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</si>
  <si>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</si>
  <si>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</si>
  <si>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</si>
  <si>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</si>
  <si>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</si>
  <si>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</si>
  <si>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</si>
  <si>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</si>
  <si>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</si>
  <si>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</si>
  <si>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</si>
  <si>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</si>
  <si>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</si>
  <si>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</si>
  <si>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</si>
  <si>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</si>
  <si>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</si>
  <si>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</si>
  <si>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</si>
  <si>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</si>
  <si>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</si>
  <si>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</si>
  <si>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</si>
  <si>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</si>
  <si>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</si>
  <si>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</si>
  <si>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</si>
  <si>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</si>
  <si>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</si>
  <si>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</si>
  <si>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</si>
  <si>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</si>
  <si>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</si>
  <si>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</si>
  <si>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</si>
  <si>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</si>
  <si>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</si>
  <si>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</si>
  <si>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</si>
  <si>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</si>
  <si>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</si>
  <si>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</si>
  <si>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</si>
  <si>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</si>
  <si>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</si>
  <si>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</si>
  <si>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</si>
  <si>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</si>
  <si>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</si>
  <si>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</si>
  <si>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</si>
  <si>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</si>
  <si>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</si>
  <si>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</si>
  <si>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</si>
  <si>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</si>
  <si>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</si>
  <si>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</si>
  <si>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</si>
  <si>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</si>
  <si>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</si>
  <si>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</si>
  <si>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</si>
  <si>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</si>
  <si>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</si>
  <si>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</si>
  <si>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</si>
  <si>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</si>
  <si>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</si>
  <si>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</si>
  <si>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</si>
  <si>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</si>
  <si>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</si>
  <si>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</si>
  <si>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</si>
  <si>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</si>
  <si>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</si>
  <si>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</si>
  <si>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</si>
  <si>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</si>
  <si>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</si>
  <si>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</si>
  <si>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</si>
  <si>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</si>
  <si>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</si>
  <si>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</si>
  <si>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</si>
  <si>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</si>
  <si>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</si>
  <si>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</si>
  <si>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</si>
  <si>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</si>
  <si>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</si>
  <si>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</si>
  <si>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</si>
  <si>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</si>
  <si>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</si>
  <si>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</si>
  <si>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</si>
  <si>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</si>
  <si>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</si>
  <si>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</si>
  <si>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</si>
  <si>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</si>
  <si>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</si>
  <si>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</si>
  <si>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</si>
  <si>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</si>
  <si>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</si>
  <si>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</si>
  <si>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</si>
  <si>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</si>
  <si>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</si>
  <si>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</si>
  <si>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</si>
  <si>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</si>
  <si>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</si>
  <si>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</si>
  <si>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</si>
  <si>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</si>
  <si>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</si>
  <si>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</si>
  <si>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</si>
  <si>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</si>
  <si>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</si>
  <si>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</si>
  <si>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</si>
  <si>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</si>
  <si>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</si>
  <si>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</si>
  <si>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</si>
  <si>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</si>
  <si>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</si>
  <si>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</si>
  <si>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</si>
  <si>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</si>
  <si>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</si>
  <si>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</si>
  <si>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</si>
  <si>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</si>
  <si>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</si>
  <si>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</si>
  <si>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</si>
  <si>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</si>
  <si>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</si>
  <si>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</si>
  <si>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</si>
  <si>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</si>
  <si>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</si>
  <si>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</si>
  <si>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</si>
  <si>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</si>
  <si>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</si>
  <si>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</si>
  <si>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</si>
  <si>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</si>
  <si>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</si>
  <si>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</si>
  <si>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</si>
  <si>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</si>
  <si>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</si>
  <si>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</si>
  <si>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</si>
  <si>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</si>
  <si>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</si>
  <si>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</si>
  <si>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</si>
  <si>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</si>
  <si>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</si>
  <si>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</si>
  <si>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</si>
  <si>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</si>
  <si>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</si>
  <si>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</si>
  <si>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</si>
  <si>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</si>
  <si>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</si>
  <si>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</si>
  <si>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</si>
  <si>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</si>
  <si>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</si>
  <si>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</si>
  <si>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</si>
  <si>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</si>
  <si>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</si>
  <si>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</si>
  <si>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</si>
  <si>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</si>
  <si>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</si>
  <si>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</si>
  <si>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</si>
  <si>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</si>
  <si>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</si>
  <si>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</si>
  <si>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</si>
  <si>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</si>
  <si>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</si>
  <si>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</si>
  <si>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</si>
  <si>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</si>
  <si>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</si>
  <si>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</si>
  <si>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</si>
  <si>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</si>
  <si>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</si>
  <si>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</si>
  <si>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</si>
  <si>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</si>
  <si>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</si>
  <si>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</si>
  <si>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</si>
  <si>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</si>
  <si>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</si>
  <si>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</si>
  <si>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</si>
  <si>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</si>
  <si>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</si>
  <si>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</si>
  <si>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</si>
  <si>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</si>
  <si>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</si>
  <si>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</si>
  <si>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</si>
  <si>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</si>
  <si>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</si>
  <si>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</si>
  <si>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</si>
  <si>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</si>
  <si>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</si>
  <si>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</si>
  <si>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</si>
  <si>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</si>
  <si>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</si>
  <si>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</si>
  <si>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</si>
  <si>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</si>
  <si>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</si>
  <si>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</si>
  <si>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</si>
  <si>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</si>
  <si>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</si>
  <si>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</si>
  <si>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</si>
  <si>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</si>
  <si>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</si>
  <si>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</si>
  <si>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</si>
  <si>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</si>
  <si>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</si>
  <si>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</si>
  <si>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</si>
  <si>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</si>
  <si>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</si>
  <si>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</si>
  <si>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</si>
  <si>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</si>
  <si>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</si>
  <si>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</si>
  <si>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</si>
  <si>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</si>
  <si>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</si>
  <si>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</si>
  <si>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</si>
  <si>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</si>
  <si>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</si>
  <si>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</si>
  <si>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</si>
  <si>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</si>
  <si>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</si>
  <si>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</si>
  <si>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</si>
  <si>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</si>
  <si>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</si>
  <si>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</si>
  <si>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</si>
  <si>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</si>
  <si>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</si>
  <si>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</si>
  <si>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</si>
  <si>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</si>
  <si>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</si>
  <si>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</si>
  <si>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</si>
  <si>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</si>
  <si>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</si>
  <si>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</si>
  <si>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</si>
  <si>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</si>
  <si>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</si>
  <si>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</si>
  <si>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</si>
  <si>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</si>
  <si>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</si>
  <si>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</si>
  <si>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</si>
  <si>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</si>
  <si>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</si>
  <si>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</si>
  <si>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</si>
  <si>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</si>
  <si>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</si>
  <si>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</si>
  <si>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</si>
  <si>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</si>
  <si>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</si>
  <si>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</si>
  <si>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</si>
  <si>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</si>
  <si>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</si>
  <si>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</si>
  <si>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</si>
  <si>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</si>
  <si>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</si>
  <si>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</si>
  <si>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</si>
  <si>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</si>
  <si>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</si>
  <si>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</si>
  <si>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</si>
  <si>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</si>
  <si>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</si>
  <si>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</si>
  <si>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</si>
  <si>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</si>
  <si>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</si>
  <si>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</si>
  <si>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</si>
  <si>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</si>
  <si>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</si>
  <si>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</si>
  <si>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</si>
  <si>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</si>
  <si>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</si>
  <si>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</si>
  <si>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</si>
  <si>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</si>
  <si>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</si>
  <si>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</si>
  <si>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</si>
  <si>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</si>
  <si>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</si>
  <si>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</si>
  <si>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</si>
  <si>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</si>
  <si>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</si>
  <si>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</si>
  <si>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</si>
  <si>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</si>
  <si>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</si>
  <si>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</si>
  <si>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</si>
  <si>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</si>
  <si>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</si>
  <si>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</si>
  <si>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</si>
  <si>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</si>
  <si>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</si>
  <si>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</si>
  <si>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</si>
  <si>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</si>
  <si>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</si>
  <si>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</si>
  <si>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</si>
  <si>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</si>
  <si>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</si>
  <si>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</si>
  <si>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</si>
  <si>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</si>
  <si>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</si>
  <si>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</si>
  <si>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</si>
  <si>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</si>
  <si>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</si>
  <si>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</si>
  <si>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</si>
  <si>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</si>
  <si>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</si>
  <si>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</si>
  <si>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</si>
  <si>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</si>
  <si>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</si>
  <si>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</si>
  <si>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</si>
  <si>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</si>
  <si>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</si>
  <si>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</si>
  <si>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</si>
  <si>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</si>
  <si>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</si>
  <si>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</si>
  <si>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</si>
  <si>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</si>
  <si>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</si>
  <si>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</si>
  <si>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</si>
  <si>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</si>
  <si>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</si>
  <si>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</si>
  <si>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</si>
  <si>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</si>
  <si>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</si>
  <si>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</si>
  <si>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</si>
  <si>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</si>
  <si>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</si>
  <si>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</si>
  <si>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</si>
  <si>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</si>
  <si>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</si>
  <si>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</si>
  <si>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</si>
  <si>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</si>
  <si>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</si>
  <si>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</si>
  <si>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</si>
  <si>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</si>
  <si>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</si>
  <si>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</si>
  <si>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</si>
  <si>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</si>
  <si>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</si>
  <si>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</si>
  <si>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</si>
  <si>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</si>
  <si>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</si>
  <si>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</si>
  <si>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</si>
  <si>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</si>
  <si>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</si>
  <si>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</si>
  <si>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</si>
  <si>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</si>
  <si>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</si>
  <si>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</si>
  <si>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</si>
  <si>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</si>
  <si>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</si>
  <si>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</si>
  <si>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</si>
  <si>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</si>
  <si>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</si>
  <si>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</si>
  <si>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</si>
  <si>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</si>
  <si>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</si>
  <si>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</si>
  <si>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</si>
  <si>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</si>
  <si>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</si>
  <si>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</si>
  <si>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</si>
  <si>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</si>
  <si>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</si>
  <si>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</si>
  <si>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</si>
  <si>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</si>
  <si>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</si>
  <si>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</si>
  <si>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</si>
  <si>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</si>
  <si>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</si>
  <si>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</si>
  <si>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</si>
  <si>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</si>
  <si>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</si>
  <si>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</si>
  <si>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</si>
  <si>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</si>
  <si>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</si>
  <si>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</si>
  <si>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</si>
  <si>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</si>
  <si>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</si>
  <si>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</si>
  <si>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</si>
  <si>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</si>
  <si>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</si>
  <si>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</si>
  <si>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</si>
  <si>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</si>
  <si>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</si>
  <si>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</si>
  <si>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</si>
  <si>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</si>
  <si>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</si>
  <si>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</si>
  <si>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</si>
  <si>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</si>
  <si>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</si>
  <si>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</si>
  <si>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</si>
  <si>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</si>
  <si>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</si>
  <si>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</si>
  <si>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</si>
  <si>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</si>
  <si>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</si>
  <si>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</si>
  <si>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</si>
  <si>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</si>
  <si>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</si>
  <si>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</si>
  <si>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</si>
  <si>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</si>
  <si>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</si>
  <si>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</si>
  <si>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</si>
  <si>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</si>
  <si>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</si>
  <si>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</si>
  <si>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</si>
  <si>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</si>
  <si>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</si>
  <si>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</si>
  <si>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</si>
  <si>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</si>
  <si>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</si>
  <si>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</si>
  <si>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</si>
  <si>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</si>
  <si>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</si>
  <si>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</si>
  <si>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</si>
  <si>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</si>
  <si>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</si>
  <si>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</si>
  <si>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</si>
  <si>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</si>
  <si>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</si>
  <si>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</si>
  <si>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</si>
  <si>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</si>
  <si>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</si>
  <si>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</si>
  <si>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</si>
  <si>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</si>
  <si>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</si>
  <si>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</si>
  <si>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</si>
  <si>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</si>
  <si>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</si>
  <si>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</si>
  <si>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</si>
  <si>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</si>
  <si>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</si>
  <si>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</si>
  <si>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</si>
  <si>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</si>
  <si>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</si>
  <si>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</si>
  <si>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</si>
  <si>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</si>
  <si>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</si>
  <si>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</si>
  <si>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</si>
  <si>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</si>
  <si>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</si>
  <si>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</si>
  <si>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</si>
  <si>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</si>
  <si>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</si>
  <si>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</si>
  <si>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</si>
  <si>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</si>
  <si>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</si>
  <si>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</si>
  <si>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</si>
  <si>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</si>
  <si>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</si>
  <si>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</si>
  <si>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</si>
  <si>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</si>
  <si>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</si>
  <si>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</si>
  <si>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</si>
  <si>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</si>
  <si>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</si>
  <si>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</si>
  <si>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</si>
  <si>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</si>
  <si>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</si>
  <si>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</si>
  <si>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</si>
  <si>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</si>
  <si>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</si>
  <si>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</si>
  <si>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</si>
  <si>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</si>
  <si>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</si>
  <si>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</si>
  <si>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</si>
  <si>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</si>
  <si>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</si>
  <si>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</si>
  <si>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</si>
  <si>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</si>
  <si>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</si>
  <si>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</si>
  <si>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</si>
  <si>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</si>
  <si>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</si>
  <si>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</si>
  <si>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</si>
  <si>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</si>
  <si>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</si>
  <si>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</si>
  <si>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</si>
  <si>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</si>
  <si>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</si>
  <si>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</si>
  <si>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</si>
  <si>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</si>
  <si>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</si>
  <si>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</si>
  <si>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</si>
  <si>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</si>
  <si>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</si>
  <si>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</si>
  <si>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</si>
  <si>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</si>
  <si>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</si>
  <si>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</si>
  <si>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</si>
  <si>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</si>
  <si>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</si>
  <si>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</si>
  <si>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</si>
  <si>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</si>
  <si>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</si>
  <si>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</si>
  <si>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</si>
  <si>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</si>
  <si>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</si>
  <si>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</si>
  <si>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</si>
  <si>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</si>
  <si>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</si>
  <si>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</si>
  <si>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</si>
  <si>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</si>
  <si>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</si>
  <si>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</si>
  <si>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</si>
  <si>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</si>
  <si>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</si>
  <si>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</si>
  <si>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</si>
  <si>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</si>
  <si>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</si>
  <si>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</si>
  <si>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</si>
  <si>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</si>
  <si>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</si>
  <si>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</si>
  <si>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</si>
  <si>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</si>
  <si>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</si>
  <si>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</si>
  <si>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</si>
  <si>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</si>
  <si>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</si>
  <si>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</si>
  <si>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</si>
  <si>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</si>
  <si>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</si>
  <si>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</si>
  <si>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</si>
  <si>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</si>
  <si>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</si>
  <si>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</si>
  <si>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</si>
  <si>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</si>
  <si>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</si>
  <si>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</si>
  <si>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</si>
  <si>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</si>
  <si>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</si>
  <si>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</si>
  <si>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</si>
  <si>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</si>
  <si>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</si>
  <si>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</si>
  <si>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</si>
  <si>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</si>
  <si>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</si>
  <si>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</si>
  <si>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</si>
  <si>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</si>
  <si>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</si>
  <si>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</si>
  <si>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</si>
  <si>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</si>
  <si>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</si>
  <si>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</si>
  <si>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</si>
  <si>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</si>
  <si>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</si>
  <si>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</si>
  <si>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</si>
  <si>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</si>
  <si>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</si>
  <si>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</si>
  <si>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</si>
  <si>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</si>
  <si>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</si>
  <si>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</si>
  <si>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</si>
  <si>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</si>
  <si>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</si>
  <si>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</si>
  <si>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</si>
  <si>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</si>
  <si>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</si>
  <si>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</si>
  <si>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</si>
  <si>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</si>
  <si>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</si>
  <si>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</si>
  <si>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</si>
  <si>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</si>
  <si>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</si>
  <si>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</si>
  <si>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</si>
  <si>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</si>
  <si>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</si>
  <si>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</si>
  <si>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</si>
  <si>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</si>
  <si>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</si>
  <si>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</si>
  <si>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</si>
  <si>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</si>
  <si>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</si>
  <si>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</si>
  <si>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</si>
  <si>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</si>
  <si>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</si>
  <si>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</si>
  <si>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</si>
  <si>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</si>
  <si>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</si>
  <si>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</si>
  <si>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</si>
  <si>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</si>
  <si>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</si>
  <si>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</si>
  <si>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</si>
  <si>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</si>
  <si>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</si>
  <si>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</si>
  <si>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</si>
  <si>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</si>
  <si>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</si>
  <si>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</si>
  <si>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</si>
  <si>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</si>
  <si>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</si>
  <si>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</si>
  <si>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</si>
  <si>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</si>
  <si>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</si>
  <si>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</si>
  <si>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</si>
  <si>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</si>
  <si>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</si>
  <si>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</si>
  <si>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</si>
  <si>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</si>
  <si>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</si>
  <si>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</si>
  <si>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</si>
  <si>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</si>
  <si>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</si>
  <si>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</si>
  <si>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</si>
  <si>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</si>
  <si>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</si>
  <si>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</si>
  <si>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</si>
  <si>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</si>
  <si>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</si>
  <si>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</si>
  <si>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</si>
  <si>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</si>
  <si>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</si>
  <si>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</si>
  <si>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</si>
  <si>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</si>
  <si>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</si>
  <si>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</si>
  <si>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</si>
  <si>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</si>
  <si>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</si>
  <si>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</si>
  <si>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</si>
  <si>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</si>
  <si>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</si>
  <si>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</si>
  <si>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</si>
  <si>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</si>
  <si>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</si>
  <si>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</si>
  <si>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</si>
  <si>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</si>
  <si>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</si>
  <si>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</si>
  <si>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</si>
  <si>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</si>
  <si>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</si>
  <si>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</si>
  <si>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</si>
  <si>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</si>
  <si>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</si>
  <si>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</si>
  <si>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</si>
  <si>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</si>
  <si>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</si>
  <si>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</si>
  <si>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</si>
  <si>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</si>
  <si>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</si>
  <si>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</si>
  <si>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</si>
  <si>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</si>
  <si>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</si>
  <si>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</si>
  <si>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</si>
  <si>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</si>
  <si>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</si>
  <si>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</si>
  <si>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</si>
  <si>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</si>
  <si>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</si>
  <si>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</si>
  <si>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</si>
  <si>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</si>
  <si>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</si>
  <si>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</si>
  <si>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</si>
  <si>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</si>
  <si>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</si>
  <si>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</si>
  <si>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</si>
  <si>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</si>
  <si>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</si>
  <si>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</si>
  <si>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</si>
  <si>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</si>
  <si>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</si>
  <si>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</si>
  <si>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</si>
  <si>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</si>
  <si>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</si>
  <si>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</si>
  <si>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</si>
  <si>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</si>
  <si>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</si>
  <si>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</si>
  <si>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</si>
  <si>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</si>
  <si>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</si>
  <si>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</si>
  <si>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</si>
  <si>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</si>
  <si>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</si>
  <si>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</si>
  <si>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</si>
  <si>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</si>
  <si>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</si>
  <si>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</si>
  <si>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</si>
  <si>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</si>
  <si>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</si>
  <si>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</si>
  <si>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</si>
  <si>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</si>
  <si>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</si>
  <si>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</si>
  <si>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</si>
  <si>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</si>
  <si>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</si>
  <si>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</si>
  <si>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</si>
  <si>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</si>
  <si>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</si>
  <si>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</si>
  <si>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</si>
  <si>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</si>
  <si>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</si>
  <si>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</si>
  <si>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</si>
  <si>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</si>
  <si>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</si>
  <si>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</si>
  <si>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</si>
  <si>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</si>
  <si>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</si>
  <si>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</si>
  <si>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</si>
  <si>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</si>
  <si>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</si>
  <si>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</si>
  <si>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</si>
  <si>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</si>
  <si>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</si>
  <si>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</si>
  <si>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</si>
  <si>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</si>
  <si>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</si>
  <si>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</si>
  <si>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</si>
  <si>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</si>
  <si>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</si>
  <si>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</si>
  <si>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</si>
  <si>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</si>
  <si>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</si>
  <si>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</si>
  <si>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</si>
  <si>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</si>
  <si>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</si>
  <si>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</si>
  <si>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</si>
  <si>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</si>
  <si>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TOLEDO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</si>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</sst>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k5KQZKBT75WBNCZ+lf4VIhxeE3V2jhEyQa0JRR76zIwfnHEKOByfqknpBsIMBVkv+flV8oUabKTzXfRQXbrig==" saltValue="BQ40BAnif8EdL6G85gme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26.754407294832827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88</v>
      </c>
      <c r="D10" s="239">
        <f>IF(ISNUMBER(Datos!I10),Datos!I10," - ")</f>
        <v>88</v>
      </c>
      <c r="E10" s="240">
        <f>IF(ISNUMBER(Datos!J10),Datos!J10," - ")</f>
        <v>16</v>
      </c>
      <c r="F10" s="240">
        <f>IF(ISNUMBER(Datos!K10),Datos!K10," - ")</f>
        <v>12</v>
      </c>
      <c r="G10" s="1390" t="str">
        <f>IF(Datos!E10&lt;&gt;"",Datos!E10,Datos!D10)</f>
        <v>37</v>
      </c>
      <c r="H10" s="241">
        <f>IF(ISNUMBER(Datos!L10),Datos!L10," - ")</f>
        <v>92</v>
      </c>
      <c r="I10" s="1400" t="str">
        <f>IF(ISNUMBER(Datos!AS10/Datos!BM10),Datos!AS10/Datos!BM10," - ")</f>
        <v xml:space="preserve"> - </v>
      </c>
      <c r="J10" s="1401">
        <f>IF(ISNUMBER(Datos!BY10/Datos!CN10),Datos!BY10/Datos!CN10," - ")</f>
        <v>0</v>
      </c>
      <c r="K10" s="244">
        <f t="shared" ref="K10:K13" si="1">IF(ISNUMBER((E10-F10)/C10),(E10-F10)/C10," - ")</f>
        <v>4.5454545454545456E-2</v>
      </c>
      <c r="L10" s="1402">
        <f>IF(ISNUMBER(NºAsuntos!I10/NºAsuntos!G10),(NºAsuntos!I10/NºAsuntos!G10)*11," - ")</f>
        <v>84.333333333333343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88</v>
      </c>
      <c r="D14" s="1407">
        <f>SUBTOTAL(9,D9:D13)</f>
        <v>88</v>
      </c>
      <c r="E14" s="1408">
        <f>SUBTOTAL(9,E9:E13)</f>
        <v>16</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799</v>
      </c>
      <c r="D16" s="239">
        <f>IF(ISNUMBER(IF(D_I="SI",Datos!I16,Datos!I16+Datos!AC16)),IF(D_I="SI",Datos!I16,Datos!I16+Datos!AC16)," - ")</f>
        <v>799</v>
      </c>
      <c r="E16" s="240">
        <f>IF(ISNUMBER(IF(D_I="SI",Datos!J16,Datos!J16+Datos!AD16)),IF(D_I="SI",Datos!J16,Datos!J16+Datos!AD16)," - ")</f>
        <v>1223</v>
      </c>
      <c r="F16" s="240">
        <f>IF(ISNUMBER(IF(D_I="SI",Datos!K16,Datos!K16+Datos!AE16)),IF(D_I="SI",Datos!K16,Datos!K16+Datos!AE16)," - ")</f>
        <v>660</v>
      </c>
      <c r="G16" s="1390" t="str">
        <f>IF(Datos!E16&lt;&gt;"",Datos!E16,Datos!D16)</f>
        <v>03</v>
      </c>
      <c r="H16" s="241">
        <f>IF(ISNUMBER(IF(D_I="SI",Datos!L16,Datos!L16+Datos!AF16)),IF(D_I="SI",Datos!L16,Datos!L16+Datos!AF16)," - ")</f>
        <v>1362</v>
      </c>
      <c r="I16" s="1400" t="str">
        <f>IF(ISNUMBER(Datos!AS16/Datos!BM16),Datos!AS16/Datos!BM16," - ")</f>
        <v xml:space="preserve"> - </v>
      </c>
      <c r="J16" s="1401">
        <f>IF(ISNUMBER(Datos!BY16/Datos!CN16),Datos!BY16/Datos!CN16," - ")</f>
        <v>0</v>
      </c>
      <c r="K16" s="244">
        <f t="shared" ref="K16:K22" si="3">IF(ISNUMBER((E16-F16)/C16),(E16-F16)/C16," - ")</f>
        <v>0.70463078848560701</v>
      </c>
      <c r="L16" s="1402">
        <f>IF(ISNUMBER(NºAsuntos!I16/NºAsuntos!G16),(NºAsuntos!I16/NºAsuntos!G16)*11," - ")</f>
        <v>22.7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48</v>
      </c>
      <c r="D18" s="239">
        <f>IF(ISNUMBER(IF(D_I="SI",Datos!I18,Datos!I18+Datos!AC18)),IF(D_I="SI",Datos!I18,Datos!I18+Datos!AC18)," - ")</f>
        <v>48</v>
      </c>
      <c r="E18" s="240">
        <f>IF(ISNUMBER(IF(D_I="SI",Datos!J18,Datos!J18+Datos!AD18)),IF(D_I="SI",Datos!J18,Datos!J18+Datos!AD18)," - ")</f>
        <v>111</v>
      </c>
      <c r="F18" s="240">
        <f>IF(ISNUMBER(IF(D_I="SI",Datos!K18,Datos!K18+Datos!AE18)),IF(D_I="SI",Datos!K18,Datos!K18+Datos!AE18)," - ")</f>
        <v>107</v>
      </c>
      <c r="G18" s="1390" t="str">
        <f>IF(Datos!E18&lt;&gt;"",Datos!E18,Datos!D18)</f>
        <v>37</v>
      </c>
      <c r="H18" s="241">
        <f>IF(ISNUMBER(IF(D_I="SI",Datos!L18,Datos!L18+Datos!AF18)),IF(D_I="SI",Datos!L18,Datos!L18+Datos!AF18)," - ")</f>
        <v>52</v>
      </c>
      <c r="I18" s="1400" t="str">
        <f>IF(ISNUMBER(Datos!AS18/Datos!BM18),Datos!AS18/Datos!BM18," - ")</f>
        <v xml:space="preserve"> - </v>
      </c>
      <c r="J18" s="1401" t="str">
        <f>IF(ISNUMBER((Datos!BY18+Datos!BZ18)/Datos!CN18),(Datos!BY18+Datos!BZ18)/Datos!CN18," - ")</f>
        <v xml:space="preserve"> - </v>
      </c>
      <c r="K18" s="244">
        <f t="shared" si="3"/>
        <v>8.3333333333333329E-2</v>
      </c>
      <c r="L18" s="1402">
        <f>IF(ISNUMBER(NºAsuntos!I18/NºAsuntos!G18),(NºAsuntos!I18/NºAsuntos!G18)*11," - ")</f>
        <v>5.3457943925233646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847</v>
      </c>
      <c r="D23" s="1407">
        <f>SUBTOTAL(9,D16:D22)</f>
        <v>847</v>
      </c>
      <c r="E23" s="1408">
        <f>SUBTOTAL(9,E16:E22)</f>
        <v>1334</v>
      </c>
      <c r="F23" s="1408">
        <f>SUBTOTAL(9,F16:F22)</f>
        <v>767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935</v>
      </c>
      <c r="D31" s="1435">
        <f>SUBTOTAL(9,D9:D30)</f>
        <v>935</v>
      </c>
      <c r="E31" s="1436">
        <f>SUBTOTAL(9,E9:E30)</f>
        <v>1350</v>
      </c>
      <c r="F31" s="1436">
        <f>SUBTOTAL(9,F9:F30)</f>
        <v>779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3nnQb6ITE7d7G2BK1h085sSIWU3Lz/rmxvTR8IeQP+z534qUqCvetFDlgyqKcssGS9g6NlzHPeMugw+1C1Vkw==" saltValue="SgUiBG7y4jCU94AgHWjNi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S91QFL2ApNCUalrjb6Za6/byAfwvlLcuDNt3qKI2+ixT6rQW/QTMx1MUn/EH75RHHSs5FmB/YXrkmapGRYp1w==" saltValue="CN6hga8ia3+WfaTTsp1M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4006</v>
      </c>
      <c r="J9" s="194">
        <v>1347</v>
      </c>
      <c r="K9" s="194">
        <v>1559</v>
      </c>
      <c r="L9" s="194">
        <v>3794</v>
      </c>
      <c r="M9" s="194">
        <v>648</v>
      </c>
      <c r="N9" s="194">
        <v>564</v>
      </c>
      <c r="O9" s="194">
        <v>598</v>
      </c>
      <c r="P9" s="194">
        <v>340</v>
      </c>
      <c r="Q9" s="194">
        <v>198</v>
      </c>
      <c r="R9" s="194">
        <v>5539</v>
      </c>
      <c r="S9" s="194">
        <v>0</v>
      </c>
      <c r="T9" s="194">
        <v>0</v>
      </c>
      <c r="U9" s="194">
        <v>0</v>
      </c>
      <c r="V9" s="194">
        <v>0</v>
      </c>
      <c r="W9" s="194">
        <v>0</v>
      </c>
      <c r="X9" s="201">
        <v>0</v>
      </c>
      <c r="Y9" s="204">
        <v>223</v>
      </c>
      <c r="Z9" s="194">
        <v>70</v>
      </c>
      <c r="AA9" s="194">
        <v>86</v>
      </c>
      <c r="AB9" s="194">
        <v>207</v>
      </c>
      <c r="AC9" s="194">
        <v>0</v>
      </c>
      <c r="AD9" s="194">
        <v>0</v>
      </c>
      <c r="AE9" s="194">
        <v>0</v>
      </c>
      <c r="AF9" s="201">
        <v>0</v>
      </c>
      <c r="AG9" s="204">
        <v>0</v>
      </c>
      <c r="AH9" s="194">
        <v>0</v>
      </c>
      <c r="AI9" s="194">
        <v>0</v>
      </c>
      <c r="AJ9" s="205">
        <v>0</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f>IF(ISNUMBER(X9),X9," - ")</f>
        <v>0</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88</v>
      </c>
      <c r="J10" s="194">
        <v>16</v>
      </c>
      <c r="K10" s="194">
        <v>12</v>
      </c>
      <c r="L10" s="194">
        <v>92</v>
      </c>
      <c r="M10" s="194">
        <v>5</v>
      </c>
      <c r="N10" s="194">
        <v>3</v>
      </c>
      <c r="O10" s="194">
        <v>2</v>
      </c>
      <c r="P10" s="194">
        <v>4</v>
      </c>
      <c r="Q10" s="194">
        <v>6</v>
      </c>
      <c r="R10" s="194">
        <v>20</v>
      </c>
      <c r="S10" s="194">
        <v>93</v>
      </c>
      <c r="T10" s="194">
        <v>9</v>
      </c>
      <c r="U10" s="194">
        <v>7</v>
      </c>
      <c r="V10" s="194">
        <v>95</v>
      </c>
      <c r="W10" s="194">
        <v>5</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93</v>
      </c>
      <c r="AZ10" s="139">
        <f t="shared" si="0"/>
        <v>9</v>
      </c>
      <c r="BA10" s="139">
        <f t="shared" si="0"/>
        <v>7</v>
      </c>
      <c r="BB10" s="139">
        <f t="shared" si="0"/>
        <v>95</v>
      </c>
      <c r="BC10" s="135">
        <f t="shared" si="0"/>
        <v>5</v>
      </c>
      <c r="BD10" s="136">
        <f>IF(ISNUMBER(BA10/AZ10),BA10/AZ10," - ")</f>
        <v>0.77777777777777779</v>
      </c>
      <c r="BE10" s="137">
        <f>IF(ISNUMBER(BB10/BA10),BB10/BA10, " - ")</f>
        <v>13.571428571428571</v>
      </c>
      <c r="BF10" s="137">
        <f>IF(ISNUMBER(BC10/BA10),BC10/BA10, " - ")</f>
        <v>0.7142857142857143</v>
      </c>
      <c r="BG10" s="209">
        <f>IF(ISNUMBER((AY10+AZ10)/BA10),(AY10+AZ10)/BA10," - ")</f>
        <v>14.571428571428571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4094</v>
      </c>
      <c r="J14" s="197">
        <f t="shared" si="7"/>
        <v>1363</v>
      </c>
      <c r="K14" s="197">
        <f t="shared" si="7"/>
        <v>1571</v>
      </c>
      <c r="L14" s="197">
        <f t="shared" si="7"/>
        <v>3886</v>
      </c>
      <c r="M14" s="197">
        <f t="shared" si="7"/>
        <v>653</v>
      </c>
      <c r="N14" s="197">
        <f t="shared" si="7"/>
        <v>567</v>
      </c>
      <c r="O14" s="197">
        <f t="shared" si="7"/>
        <v>600</v>
      </c>
      <c r="P14" s="197">
        <f t="shared" si="7"/>
        <v>344</v>
      </c>
      <c r="Q14" s="197">
        <f t="shared" si="7"/>
        <v>204</v>
      </c>
      <c r="R14" s="197">
        <f t="shared" si="7"/>
        <v>5559</v>
      </c>
      <c r="S14" s="197">
        <f t="shared" si="7"/>
        <v>93</v>
      </c>
      <c r="T14" s="197">
        <f t="shared" si="7"/>
        <v>9</v>
      </c>
      <c r="U14" s="197">
        <f t="shared" si="7"/>
        <v>7</v>
      </c>
      <c r="V14" s="197">
        <f t="shared" si="7"/>
        <v>95</v>
      </c>
      <c r="W14" s="197">
        <f t="shared" si="7"/>
        <v>5</v>
      </c>
      <c r="X14" s="197">
        <f t="shared" si="7"/>
        <v>2</v>
      </c>
      <c r="Y14" s="197">
        <f t="shared" si="7"/>
        <v>223</v>
      </c>
      <c r="Z14" s="197">
        <f t="shared" si="7"/>
        <v>70</v>
      </c>
      <c r="AA14" s="197">
        <f t="shared" si="7"/>
        <v>86</v>
      </c>
      <c r="AB14" s="197">
        <f t="shared" si="7"/>
        <v>207</v>
      </c>
      <c r="AC14" s="197">
        <f t="shared" si="7"/>
        <v>0</v>
      </c>
      <c r="AD14" s="197">
        <f t="shared" si="7"/>
        <v>0</v>
      </c>
      <c r="AE14" s="197">
        <f t="shared" si="7"/>
        <v>0</v>
      </c>
      <c r="AF14" s="197">
        <f>SUBTOTAL(9,AF9:AF13)</f>
        <v>0</v>
      </c>
      <c r="AG14" s="197">
        <f t="shared" ref="AG14:AT14" si="8">SUBTOTAL(9,AG8:AG13)</f>
        <v>0</v>
      </c>
      <c r="AH14" s="197">
        <f t="shared" si="8"/>
        <v>0</v>
      </c>
      <c r="AI14" s="197">
        <f t="shared" si="8"/>
        <v>0</v>
      </c>
      <c r="AJ14" s="197">
        <f t="shared" si="8"/>
        <v>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93</v>
      </c>
      <c r="AZ14" s="197">
        <f>SUBTOTAL(9,AZ8:AZ13)</f>
        <v>9</v>
      </c>
      <c r="BA14" s="197">
        <f>SUBTOTAL(9,BA8:BA13)</f>
        <v>7</v>
      </c>
      <c r="BB14" s="197">
        <f>SUBTOTAL(9,BB8:BB13)</f>
        <v>95</v>
      </c>
      <c r="BC14" s="197">
        <f>SUBTOTAL(9,BC8:BC13)</f>
        <v>5</v>
      </c>
      <c r="BD14" s="219">
        <f>IF(ISNUMBER(BA14/AZ14),BA14/AZ14," - ")</f>
        <v>0.77777777777777779</v>
      </c>
      <c r="BE14" s="220">
        <f>IF(ISNUMBER(BB14/BA14),BB14/BA14, " - ")</f>
        <v>13.571428571428571</v>
      </c>
      <c r="BF14" s="220">
        <f>IF(ISNUMBER(BC14/BA14),BC14/BA14, " - ")</f>
        <v>0.7142857142857143</v>
      </c>
      <c r="BG14" s="221">
        <f>IF(ISNUMBER((AY14+AZ14)/BA14),(AY14+AZ14)/BA14," - ")</f>
        <v>14.571428571428571</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799</v>
      </c>
      <c r="J16" s="196">
        <v>1223</v>
      </c>
      <c r="K16" s="196">
        <v>660</v>
      </c>
      <c r="L16" s="196">
        <v>1362</v>
      </c>
      <c r="M16" s="196">
        <v>121</v>
      </c>
      <c r="N16" s="196">
        <v>352</v>
      </c>
      <c r="O16" s="194">
        <v>3</v>
      </c>
      <c r="P16" s="196">
        <v>11</v>
      </c>
      <c r="Q16" s="196">
        <v>4</v>
      </c>
      <c r="R16" s="196">
        <v>85</v>
      </c>
      <c r="S16" s="196">
        <v>0</v>
      </c>
      <c r="T16" s="196">
        <v>0</v>
      </c>
      <c r="U16" s="196">
        <v>0</v>
      </c>
      <c r="V16" s="196">
        <v>0</v>
      </c>
      <c r="W16" s="196">
        <v>0</v>
      </c>
      <c r="X16" s="202">
        <v>0</v>
      </c>
      <c r="Y16" s="215">
        <v>0</v>
      </c>
      <c r="Z16" s="196">
        <v>0</v>
      </c>
      <c r="AA16" s="196">
        <v>0</v>
      </c>
      <c r="AB16" s="196">
        <v>0</v>
      </c>
      <c r="AC16" s="196">
        <v>0</v>
      </c>
      <c r="AD16" s="196">
        <v>7</v>
      </c>
      <c r="AE16" s="196">
        <v>7</v>
      </c>
      <c r="AF16" s="202">
        <v>0</v>
      </c>
      <c r="AG16" s="215">
        <v>0</v>
      </c>
      <c r="AH16" s="196">
        <v>0</v>
      </c>
      <c r="AI16" s="196">
        <v>0</v>
      </c>
      <c r="AJ16" s="216">
        <v>0</v>
      </c>
      <c r="AK16" s="195">
        <v>0</v>
      </c>
      <c r="AL16" s="196">
        <v>0</v>
      </c>
      <c r="AM16" s="196">
        <v>0</v>
      </c>
      <c r="AN16" s="202">
        <v>0</v>
      </c>
      <c r="AO16" s="283">
        <v>3</v>
      </c>
      <c r="AP16" s="168">
        <v>3</v>
      </c>
      <c r="AQ16" s="168">
        <v>3</v>
      </c>
      <c r="AR16" s="168">
        <v>3</v>
      </c>
      <c r="AS16" s="381" t="s">
        <v>702</v>
      </c>
      <c r="AT16" s="216" t="s">
        <v>424</v>
      </c>
      <c r="AU16" s="215"/>
      <c r="AV16" s="216"/>
      <c r="AW16" s="215"/>
      <c r="AX16" s="216"/>
      <c r="AY16" s="138">
        <f t="shared" ref="AY16:BB17" si="10">IF(ISNUMBER(IF(D_I="SI",S16,S16+AK16)),IF(D_I="SI",S16,S16+AK16)," - ")</f>
        <v>0</v>
      </c>
      <c r="AZ16" s="139">
        <f t="shared" si="10"/>
        <v>0</v>
      </c>
      <c r="BA16" s="139">
        <f t="shared" si="10"/>
        <v>0</v>
      </c>
      <c r="BB16" s="139">
        <f t="shared" si="10"/>
        <v>0</v>
      </c>
      <c r="BC16" s="135">
        <f>IF(ISNUMBER(W16),W16," - ")</f>
        <v>0</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48</v>
      </c>
      <c r="J18" s="196">
        <v>111</v>
      </c>
      <c r="K18" s="196">
        <v>107</v>
      </c>
      <c r="L18" s="196">
        <v>52</v>
      </c>
      <c r="M18" s="196">
        <v>21</v>
      </c>
      <c r="N18" s="196">
        <v>50</v>
      </c>
      <c r="O18" s="196">
        <v>1</v>
      </c>
      <c r="P18" s="196">
        <v>2</v>
      </c>
      <c r="Q18" s="196">
        <v>1</v>
      </c>
      <c r="R18" s="196">
        <v>4</v>
      </c>
      <c r="S18" s="196">
        <v>52</v>
      </c>
      <c r="T18" s="196">
        <v>98</v>
      </c>
      <c r="U18" s="196">
        <v>93</v>
      </c>
      <c r="V18" s="196">
        <v>57</v>
      </c>
      <c r="W18" s="196">
        <v>12</v>
      </c>
      <c r="X18" s="202">
        <v>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52</v>
      </c>
      <c r="AZ18" s="139">
        <f t="shared" si="15"/>
        <v>98</v>
      </c>
      <c r="BA18" s="139">
        <f t="shared" si="15"/>
        <v>93</v>
      </c>
      <c r="BB18" s="139">
        <f t="shared" si="15"/>
        <v>57</v>
      </c>
      <c r="BC18" s="135">
        <f>IF(ISNUMBER(W18),W18," - ")</f>
        <v>12</v>
      </c>
      <c r="BD18" s="136">
        <f>IF(ISNUMBER(BA18/AZ18),BA18/AZ18," - ")</f>
        <v>0.94897959183673475</v>
      </c>
      <c r="BE18" s="137">
        <f>IF(ISNUMBER(BB18/BA18),BB18/BA18, " - ")</f>
        <v>0.61290322580645162</v>
      </c>
      <c r="BF18" s="137">
        <f>IF(ISNUMBER(BC18/BA18),BC18/BA18, " - ")</f>
        <v>0.12903225806451613</v>
      </c>
      <c r="BG18" s="209">
        <f>IF(ISNUMBER((AY18+AZ18)/BA18),(AY18+AZ18)/BA18," - ")</f>
        <v>1.6129032258064515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847</v>
      </c>
      <c r="J23" s="197">
        <f t="shared" si="21"/>
        <v>1334</v>
      </c>
      <c r="K23" s="197">
        <f t="shared" si="21"/>
        <v>767</v>
      </c>
      <c r="L23" s="197">
        <f t="shared" si="21"/>
        <v>1414</v>
      </c>
      <c r="M23" s="197">
        <f t="shared" si="21"/>
        <v>142</v>
      </c>
      <c r="N23" s="197">
        <f t="shared" si="21"/>
        <v>402</v>
      </c>
      <c r="O23" s="197">
        <f t="shared" si="21"/>
        <v>4</v>
      </c>
      <c r="P23" s="197">
        <f t="shared" si="21"/>
        <v>13</v>
      </c>
      <c r="Q23" s="197">
        <f t="shared" si="21"/>
        <v>5</v>
      </c>
      <c r="R23" s="197">
        <f t="shared" si="21"/>
        <v>89</v>
      </c>
      <c r="S23" s="197">
        <f t="shared" si="21"/>
        <v>52</v>
      </c>
      <c r="T23" s="197">
        <f t="shared" si="21"/>
        <v>98</v>
      </c>
      <c r="U23" s="197">
        <f t="shared" si="21"/>
        <v>93</v>
      </c>
      <c r="V23" s="197">
        <f t="shared" si="21"/>
        <v>57</v>
      </c>
      <c r="W23" s="197">
        <f t="shared" si="21"/>
        <v>12</v>
      </c>
      <c r="X23" s="197">
        <f t="shared" si="21"/>
        <v>48</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52</v>
      </c>
      <c r="AZ23" s="197">
        <f>SUBTOTAL(9,AZ15:AZ22)</f>
        <v>98</v>
      </c>
      <c r="BA23" s="197">
        <f>SUBTOTAL(9,BA15:BA22)</f>
        <v>93</v>
      </c>
      <c r="BB23" s="197">
        <f>SUBTOTAL(9,BB15:BB22)</f>
        <v>57</v>
      </c>
      <c r="BC23" s="197">
        <f>SUBTOTAL(9,BC15:BC22)</f>
        <v>12</v>
      </c>
      <c r="BD23" s="219">
        <f>IF(ISNUMBER(BA23/AZ23),BA23/AZ23," - ")</f>
        <v>0.94897959183673475</v>
      </c>
      <c r="BE23" s="220">
        <f>IF(ISNUMBER(BB23/BA23),BB23/BA23, " - ")</f>
        <v>0.61290322580645162</v>
      </c>
      <c r="BF23" s="220">
        <f>IF(ISNUMBER(BC23/BA23),BC23/BA23, " - ")</f>
        <v>0.12903225806451613</v>
      </c>
      <c r="BG23" s="221">
        <f>IF(ISNUMBER((AY23+AZ23)/BA23),(AY23+AZ23)/BA23," - ")</f>
        <v>1.6129032258064515</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4941</v>
      </c>
      <c r="J31" s="144">
        <f t="shared" si="36"/>
        <v>2697</v>
      </c>
      <c r="K31" s="144">
        <f t="shared" si="36"/>
        <v>2338</v>
      </c>
      <c r="L31" s="144">
        <f t="shared" si="36"/>
        <v>5300</v>
      </c>
      <c r="M31" s="144">
        <f t="shared" si="36"/>
        <v>795</v>
      </c>
      <c r="N31" s="144">
        <f t="shared" si="36"/>
        <v>969</v>
      </c>
      <c r="O31" s="144">
        <f t="shared" si="36"/>
        <v>604</v>
      </c>
      <c r="P31" s="144">
        <f t="shared" si="36"/>
        <v>357</v>
      </c>
      <c r="Q31" s="144">
        <f t="shared" si="36"/>
        <v>209</v>
      </c>
      <c r="R31" s="144">
        <f t="shared" si="36"/>
        <v>5648</v>
      </c>
      <c r="S31" s="144">
        <f t="shared" si="36"/>
        <v>145</v>
      </c>
      <c r="T31" s="144">
        <f t="shared" si="36"/>
        <v>107</v>
      </c>
      <c r="U31" s="144">
        <f t="shared" si="36"/>
        <v>100</v>
      </c>
      <c r="V31" s="144">
        <f t="shared" si="36"/>
        <v>152</v>
      </c>
      <c r="W31" s="144">
        <f t="shared" si="36"/>
        <v>17</v>
      </c>
      <c r="X31" s="144">
        <f t="shared" si="36"/>
        <v>50</v>
      </c>
      <c r="Y31" s="144">
        <f t="shared" si="36"/>
        <v>223</v>
      </c>
      <c r="Z31" s="144">
        <f t="shared" si="36"/>
        <v>70</v>
      </c>
      <c r="AA31" s="144">
        <f t="shared" si="36"/>
        <v>86</v>
      </c>
      <c r="AB31" s="144">
        <f t="shared" si="36"/>
        <v>207</v>
      </c>
      <c r="AC31" s="144">
        <f t="shared" si="36"/>
        <v>0</v>
      </c>
      <c r="AD31" s="144">
        <f t="shared" si="36"/>
        <v>7</v>
      </c>
      <c r="AE31" s="144">
        <f t="shared" si="36"/>
        <v>7</v>
      </c>
      <c r="AF31" s="144">
        <f t="shared" si="36"/>
        <v>0</v>
      </c>
      <c r="AG31" s="144">
        <f t="shared" si="36"/>
        <v>0</v>
      </c>
      <c r="AH31" s="144">
        <f t="shared" si="36"/>
        <v>0</v>
      </c>
      <c r="AI31" s="144">
        <f t="shared" si="36"/>
        <v>0</v>
      </c>
      <c r="AJ31" s="144">
        <f t="shared" si="36"/>
        <v>0</v>
      </c>
      <c r="AK31" s="144">
        <f t="shared" si="36"/>
        <v>0</v>
      </c>
      <c r="AL31" s="144">
        <f t="shared" si="36"/>
        <v>0</v>
      </c>
      <c r="AM31" s="144">
        <f t="shared" si="36"/>
        <v>0</v>
      </c>
      <c r="AN31" s="224">
        <f t="shared" si="36"/>
        <v>0</v>
      </c>
      <c r="AO31" s="225">
        <v>9</v>
      </c>
      <c r="AP31" s="225">
        <v>8</v>
      </c>
      <c r="AQ31" s="225">
        <v>8</v>
      </c>
      <c r="AR31" s="225">
        <v>8</v>
      </c>
      <c r="AS31" s="166">
        <f t="shared" si="36"/>
        <v>0</v>
      </c>
      <c r="AT31" s="166">
        <f t="shared" si="36"/>
        <v>0</v>
      </c>
      <c r="AU31" s="225"/>
      <c r="AV31" s="226"/>
      <c r="AW31" s="225"/>
      <c r="AX31" s="226"/>
      <c r="AY31" s="143">
        <f>SUBTOTAL(9,AY9:AY30)</f>
        <v>145</v>
      </c>
      <c r="AZ31" s="144">
        <f>SUBTOTAL(9,AZ9:AZ30)</f>
        <v>107</v>
      </c>
      <c r="BA31" s="144">
        <f>SUBTOTAL(9,BA9:BA30)</f>
        <v>100</v>
      </c>
      <c r="BB31" s="144">
        <f>SUBTOTAL(9,BB9:BB30)</f>
        <v>152</v>
      </c>
      <c r="BC31" s="145">
        <f>SUBTOTAL(9,BC9:BC30)</f>
        <v>17</v>
      </c>
      <c r="BD31" s="227">
        <f>IF(ISNUMBER(BA31/AZ31),BA31/AZ31," - ")</f>
        <v>0.93457943925233644</v>
      </c>
      <c r="BE31" s="224">
        <f>IF(ISNUMBER(BB31/BA31),BB31/BA31, " - ")</f>
        <v>1.52</v>
      </c>
      <c r="BF31" s="224">
        <f>IF(ISNUMBER(BC31/BA31),BC31/BA31, " - ")</f>
        <v>0.17</v>
      </c>
      <c r="BG31" s="145">
        <f>IF(ISNUMBER((AY31+AZ31)/BA31),(AY31+AZ31)/BA31," - ")</f>
        <v>2.52</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NREgwRwVXshLt0WrBGlTJp+fLEeHii5NfoMk1uMovMeexwJpp+ao8qvoHJa4m4GC+276AhnMQtMStHBI/eGUA==" saltValue="tiPZDhMKlochwtD80Tyf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bbkW4fbBy/MDa6IZ0VvMT3pVTk0RdF8C3Wf1q4x3vwDlELsAt/EaaEx2FZt13dBXIqXK9eya8ehdc5/yCpY6w==" saltValue="iWDsifpV/Ouzs6FmmbPG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TOLEDO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70</v>
      </c>
      <c r="O9" s="549"/>
      <c r="P9" s="549"/>
      <c r="Q9" s="547">
        <f>IF(ISNUMBER(Datos!P9),Datos!P9,0)</f>
        <v>340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198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207</v>
      </c>
      <c r="AI9" s="549" t="str">
        <f>IF(ISNUMBER(Datos!CD9),Datos!CD9,"-")</f>
        <v>-</v>
      </c>
      <c r="AJ9" s="549" t="str">
        <f>IF(ISNUMBER(Datos!EN9),Datos!EN9," - ")</f>
        <v xml:space="preserve"> - </v>
      </c>
      <c r="AK9" s="549"/>
      <c r="AL9" s="550"/>
      <c r="AM9" s="766">
        <f>IF(ISNUMBER(Datos!R9),Datos!R9," - ")</f>
        <v>5539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648</v>
      </c>
      <c r="BD9" s="693">
        <f>IF(ISNUMBER(Datos!N9),Datos!N9," - ")</f>
        <v>564</v>
      </c>
      <c r="BE9" s="693" t="str">
        <f>IF(ISNUMBER(Datos!BW9),Datos!BW9," - ")</f>
        <v xml:space="preserve"> - </v>
      </c>
      <c r="BF9" s="762" t="str">
        <f>IF(ISNUMBER(Datos!BX9),Datos!BX9," - ")</f>
        <v xml:space="preserve"> - </v>
      </c>
      <c r="BG9" s="763">
        <f>IF(ISNUMBER(IF(J_V="SI",Datos!K9/Datos!J9,(Datos!K9+Datos!AA9)/(Datos!J9+Datos!Z9))),IF(J_V="SI",Datos!K9/Datos!J9,(Datos!K9+Datos!AA9)/(Datos!J9+Datos!Z9))," - ")</f>
        <v>1.1609033168666196</v>
      </c>
      <c r="BH9" s="764">
        <f>IF(ISNUMBER(((IF(J_V="SI",Datos!L9/Datos!K9,(Datos!L9+Datos!AB9)/(Datos!K9+Datos!AA9)))*11)/factor_trimestre),((IF(J_V="SI",Datos!L9/Datos!K9,(Datos!L9+Datos!AB9)/(Datos!K9+Datos!AA9)))*11)/factor_trimestre," - ")</f>
        <v>7.2966565349544075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2.6310913470446545E-2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88</v>
      </c>
      <c r="G10" s="543">
        <f>IF(ISNUMBER(Datos!I10),Datos!I10," - ")</f>
        <v>88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6</v>
      </c>
      <c r="AD10" s="549"/>
      <c r="AE10" s="563"/>
      <c r="AF10" s="551">
        <f>IF(ISNUMBER(Datos!L10),Datos!L10,"-")</f>
        <v>92</v>
      </c>
      <c r="AG10" s="549"/>
      <c r="AH10" s="549"/>
      <c r="AI10" s="549"/>
      <c r="AJ10" s="549"/>
      <c r="AK10" s="549"/>
      <c r="AL10" s="550"/>
      <c r="AM10" s="766">
        <f>IF(ISNUMBER(Datos!R10),Datos!R10," - ")</f>
        <v>20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3</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23.000000000000004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88</v>
      </c>
      <c r="G14" s="1197">
        <f t="shared" si="1"/>
        <v>88</v>
      </c>
      <c r="H14" s="1198">
        <f t="shared" si="1"/>
        <v>0</v>
      </c>
      <c r="I14" s="1197">
        <f t="shared" si="1"/>
        <v>0</v>
      </c>
      <c r="J14" s="1164">
        <f t="shared" si="1"/>
        <v>0</v>
      </c>
      <c r="K14" s="1164">
        <f t="shared" si="1"/>
        <v>0</v>
      </c>
      <c r="L14" s="1198">
        <f t="shared" si="1"/>
        <v>0</v>
      </c>
      <c r="M14" s="1198">
        <f t="shared" si="1"/>
        <v>0</v>
      </c>
      <c r="N14" s="1198">
        <f t="shared" si="1"/>
        <v>70</v>
      </c>
      <c r="O14" s="1199">
        <f t="shared" si="1"/>
        <v>0</v>
      </c>
      <c r="P14" s="1199">
        <f t="shared" si="1"/>
        <v>0</v>
      </c>
      <c r="Q14" s="1198">
        <f t="shared" si="1"/>
        <v>344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204</v>
      </c>
      <c r="AD14" s="1198">
        <f t="shared" si="2"/>
        <v>0</v>
      </c>
      <c r="AE14" s="1198">
        <f t="shared" si="2"/>
        <v>0</v>
      </c>
      <c r="AF14" s="1198">
        <f t="shared" si="2"/>
        <v>92</v>
      </c>
      <c r="AG14" s="1198">
        <f t="shared" si="2"/>
        <v>0</v>
      </c>
      <c r="AH14" s="1198">
        <f t="shared" si="2"/>
        <v>207</v>
      </c>
      <c r="AI14" s="1198">
        <f t="shared" si="2"/>
        <v>0</v>
      </c>
      <c r="AJ14" s="1198">
        <f t="shared" si="2"/>
        <v>0</v>
      </c>
      <c r="AK14" s="1198">
        <f t="shared" si="2"/>
        <v>0</v>
      </c>
      <c r="AL14" s="1198">
        <f t="shared" si="2"/>
        <v>0</v>
      </c>
      <c r="AM14" s="1198">
        <f t="shared" si="2"/>
        <v>5559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653</v>
      </c>
      <c r="BD14" s="1198">
        <f t="shared" si="2"/>
        <v>567</v>
      </c>
      <c r="BE14" s="1198">
        <f t="shared" si="2"/>
        <v>0</v>
      </c>
      <c r="BF14" s="1198">
        <f t="shared" si="2"/>
        <v>0</v>
      </c>
      <c r="BG14" s="1198">
        <f>IF(ISNUMBER(Datos!K14/Datos!J14),Datos!K14/Datos!J14," - ")</f>
        <v>1.152604548789435</v>
      </c>
      <c r="BH14" s="1202">
        <f>IF(ISNUMBER(((Datos!L14/Datos!K14)*11)/factor_trimestre),((Datos!L14/Datos!K14)*11)/factor_trimestre," - ")</f>
        <v>7.4207511139401667</v>
      </c>
      <c r="BI14" s="1198">
        <f>IF(ISNUMBER('Resol  Asuntos'!D14/NºAsuntos!G14),'Resol  Asuntos'!D14/NºAsuntos!G14," - ")</f>
        <v>0.39408569704284852</v>
      </c>
      <c r="BJ14" s="1198" t="str">
        <f>IF(ISNUMBER(Datos!CI14/Datos!CJ14),Datos!CI14/Datos!CJ14," - ")</f>
        <v xml:space="preserve"> - </v>
      </c>
      <c r="BK14" s="1198">
        <f>SUBTOTAL(9,BK8:BK13)</f>
        <v>0</v>
      </c>
      <c r="BL14" s="1198">
        <f>IF(ISNUMBER((I14-AB14+L14)/(F14)),(I14-AB14+L14)/(F14)," - ")</f>
        <v>-0.13636363636363635</v>
      </c>
      <c r="BM14" s="1203">
        <f>SUBTOTAL(9,BM9:BM13)</f>
        <v>-6.4598177438644364E-2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799</v>
      </c>
      <c r="G16" s="743">
        <f>IF(ISNUMBER(IF(D_I="SI",Datos!I16,Datos!I16+Datos!AC16)),IF(D_I="SI",Datos!I16,Datos!I16+Datos!AC16)," - ")</f>
        <v>799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660</v>
      </c>
      <c r="AC16" s="240">
        <f>IF(ISNUMBER(Datos!Q16),Datos!Q16," - ")</f>
        <v>4</v>
      </c>
      <c r="AD16" s="374"/>
      <c r="AE16" s="562"/>
      <c r="AF16" s="741">
        <f>IF(ISNUMBER(IF(D_I="SI",Datos!L16,Datos!L16+Datos!AF16)),IF(D_I="SI",Datos!L16,Datos!L16+Datos!AF16)," - ")</f>
        <v>1362</v>
      </c>
      <c r="AG16" s="374"/>
      <c r="AH16" s="374"/>
      <c r="AI16" s="374"/>
      <c r="AJ16" s="549"/>
      <c r="AK16" s="374"/>
      <c r="AL16" s="545"/>
      <c r="AM16" s="375">
        <f>IF(ISNUMBER(Datos!R16),Datos!R16," - ")</f>
        <v>85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121</v>
      </c>
      <c r="BD16" s="243">
        <f>IF(ISNUMBER(Datos!N16),Datos!N16," - ")</f>
        <v>352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0.53965658217497958</v>
      </c>
      <c r="BH16" s="764">
        <f>IF(ISNUMBER(((IF(D_I="SI",Datos!L16/Datos!K16,(Datos!L16+Datos!AF16)/(Datos!K16+Datos!AE16)))*11)/factor_trimestre),((IF(D_I="SI",Datos!L16/Datos!K16,(Datos!L16+Datos!AF16)/(Datos!K16+Datos!AE16)))*11)/factor_trimestre," - ")</f>
        <v>6.1909090909090914</v>
      </c>
      <c r="BI16" s="266">
        <f>IF(ISNUMBER('Resol  Asuntos'!D16/NºAsuntos!G16),'Resol  Asuntos'!D16/NºAsuntos!G16," - ")</f>
        <v>0.18333333333333332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107</v>
      </c>
      <c r="AC18" s="547">
        <f>IF(ISNUMBER(Datos!Q18),Datos!Q18," - ")</f>
        <v>1</v>
      </c>
      <c r="AD18" s="549"/>
      <c r="AE18" s="562"/>
      <c r="AF18" s="551">
        <f>IF(ISNUMBER(Datos!L18),Datos!L18,"-")</f>
        <v>52</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50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0.963963963963964</v>
      </c>
      <c r="BH18" s="764">
        <f>IF(ISNUMBER(((IF(D_I="SI",Datos!L18/Datos!K18,(Datos!L18+Datos!AF18)/(Datos!K18+Datos!AE18)))*11)/factor_trimestre),((IF(D_I="SI",Datos!L18/Datos!K18,(Datos!L18+Datos!AF18)/(Datos!K18+Datos!AE18)))*11)/factor_trimestre," - ")</f>
        <v>1.457943925233645</v>
      </c>
      <c r="BI18" s="763">
        <f>IF(ISNUMBER('Resol  Asuntos'!D18/NºAsuntos!G18),'Resol  Asuntos'!D18/NºAsuntos!G18," - ")</f>
        <v>0.19626168224299065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799</v>
      </c>
      <c r="G23" s="1197">
        <f>SUBTOTAL(9,G16:G22)</f>
        <v>847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767</v>
      </c>
      <c r="AC23" s="1198">
        <f t="shared" si="5"/>
        <v>5</v>
      </c>
      <c r="AD23" s="1198">
        <f t="shared" si="5"/>
        <v>0</v>
      </c>
      <c r="AE23" s="1198">
        <f t="shared" si="5"/>
        <v>0</v>
      </c>
      <c r="AF23" s="1198">
        <f t="shared" si="5"/>
        <v>1414</v>
      </c>
      <c r="AG23" s="1198">
        <f t="shared" si="5"/>
        <v>0</v>
      </c>
      <c r="AH23" s="1198">
        <f t="shared" si="5"/>
        <v>0</v>
      </c>
      <c r="AI23" s="1198">
        <f t="shared" si="5"/>
        <v>0</v>
      </c>
      <c r="AJ23" s="1198">
        <f t="shared" si="5"/>
        <v>0</v>
      </c>
      <c r="AK23" s="1198">
        <f t="shared" si="5"/>
        <v>0</v>
      </c>
      <c r="AL23" s="1198">
        <f t="shared" si="5"/>
        <v>0</v>
      </c>
      <c r="AM23" s="1198">
        <f t="shared" si="5"/>
        <v>89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142</v>
      </c>
      <c r="BD23" s="1198">
        <f t="shared" si="5"/>
        <v>402</v>
      </c>
      <c r="BE23" s="1198">
        <f t="shared" si="5"/>
        <v>0</v>
      </c>
      <c r="BF23" s="1198">
        <f t="shared" si="5"/>
        <v>0</v>
      </c>
      <c r="BG23" s="1198">
        <f>IF(ISNUMBER(Datos!K23/Datos!J23),Datos!K23/Datos!J23," - ")</f>
        <v>0.57496251874062965</v>
      </c>
      <c r="BH23" s="1202">
        <f>IF(ISNUMBER(((Datos!L23/Datos!K23)*11)/factor_trimestre),((Datos!L23/Datos!K23)*11)/factor_trimestre," - ")</f>
        <v>5.5306388526727517</v>
      </c>
      <c r="BI23" s="1198">
        <f>SUBTOTAL(9,BI16:BI22)</f>
        <v>0.37959501557632397</v>
      </c>
      <c r="BJ23" s="1198">
        <f>SUBTOTAL(9,BJ16:BJ22)</f>
        <v>0</v>
      </c>
      <c r="BK23" s="1198">
        <f>SUBTOTAL(9,BK16:BK22)</f>
        <v>0</v>
      </c>
      <c r="BL23" s="1198">
        <f>IF(ISNUMBER((I23-AB23+L23)/(F23)),(I23-AB23+L23)/(F23)," - ")</f>
        <v>-0.95994993742177726</v>
      </c>
      <c r="BM23" s="1205">
        <f>IF(ISNUMBER((Datos!P23-Datos!Q23)/(Datos!R23-Datos!P23+Datos!Q23)),(Datos!P23-Datos!Q23)/(Datos!R23-Datos!P23+Datos!Q23)," - ")</f>
        <v>9.8765432098765427E-2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887</v>
      </c>
      <c r="G31" s="1117">
        <f t="shared" si="18"/>
        <v>935</v>
      </c>
      <c r="H31" s="1119">
        <f t="shared" si="18"/>
        <v>0</v>
      </c>
      <c r="I31" s="1117">
        <f t="shared" si="18"/>
        <v>0</v>
      </c>
      <c r="J31" s="1119">
        <f t="shared" si="18"/>
        <v>0</v>
      </c>
      <c r="K31" s="1119">
        <f t="shared" si="18"/>
        <v>0</v>
      </c>
      <c r="L31" s="1180">
        <f t="shared" si="18"/>
        <v>0</v>
      </c>
      <c r="M31" s="1180">
        <f t="shared" si="18"/>
        <v>0</v>
      </c>
      <c r="N31" s="1180">
        <f t="shared" si="18"/>
        <v>70</v>
      </c>
      <c r="O31" s="1180">
        <f t="shared" si="18"/>
        <v>0</v>
      </c>
      <c r="P31" s="1180">
        <f t="shared" si="18"/>
        <v>0</v>
      </c>
      <c r="Q31" s="1119">
        <f t="shared" si="18"/>
        <v>357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779</v>
      </c>
      <c r="AC31" s="1118">
        <f t="shared" si="19"/>
        <v>209</v>
      </c>
      <c r="AD31" s="1118">
        <f t="shared" si="19"/>
        <v>0</v>
      </c>
      <c r="AE31" s="1118">
        <f t="shared" si="19"/>
        <v>0</v>
      </c>
      <c r="AF31" s="1125">
        <f t="shared" si="19"/>
        <v>1506</v>
      </c>
      <c r="AG31" s="1125">
        <f t="shared" si="19"/>
        <v>0</v>
      </c>
      <c r="AH31" s="1125">
        <f t="shared" si="19"/>
        <v>207</v>
      </c>
      <c r="AI31" s="1125">
        <f t="shared" si="19"/>
        <v>0</v>
      </c>
      <c r="AJ31" s="1118">
        <f t="shared" si="19"/>
        <v>0</v>
      </c>
      <c r="AK31" s="1125">
        <f t="shared" si="19"/>
        <v>0</v>
      </c>
      <c r="AL31" s="1125">
        <f t="shared" si="19"/>
        <v>0</v>
      </c>
      <c r="AM31" s="1125">
        <f t="shared" si="19"/>
        <v>5648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795</v>
      </c>
      <c r="BD31" s="1117">
        <f t="shared" si="19"/>
        <v>969</v>
      </c>
      <c r="BE31" s="1117">
        <f t="shared" si="19"/>
        <v>0</v>
      </c>
      <c r="BF31" s="1127">
        <f t="shared" si="19"/>
        <v>0</v>
      </c>
      <c r="BG31" s="1223">
        <f>IF(ISNUMBER(Datos!K31/Datos!J31),Datos!K31/Datos!J31," - ")</f>
        <v>0.8668891360771227</v>
      </c>
      <c r="BH31" s="1223">
        <f>IF(ISNUMBER(((Datos!L31/Datos!K31)*11)/factor_trimestre),((Datos!L31/Datos!K31)*11)/factor_trimestre," - ")</f>
        <v>6.8006843455945258</v>
      </c>
      <c r="BI31" s="1103">
        <f>IF(ISNUMBER(Datos!J31/Datos!I31),Datos!J31/Datos!I31," - ")</f>
        <v>0.54584092289010322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-0.8782412626832018</v>
      </c>
      <c r="BM31" s="1188">
        <f>IF(ISNUMBER((Datos!P31-Datos!Q31+R31)/(Datos!R31-Datos!P31+Datos!Q31-R31)),(Datos!P31-Datos!Q31+R31)/(Datos!R31-Datos!P31+Datos!Q31-R31)," - ")</f>
        <v>2.690909090909091E-2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267.14285714285717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1.7404711333664431</v>
      </c>
      <c r="F33" s="673">
        <f>IF(ISNUMBER(STDEV(F8:F30)),STDEV(F8:F30),"-")</f>
        <v>391.86154017288641</v>
      </c>
      <c r="G33" s="674">
        <f>IF(ISNUMBER(STDEV(G8:G30)),STDEV(G8:G30),"-")</f>
        <v>381.67282174284151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338.83617336546638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284.246246362953</v>
      </c>
      <c r="BD33" s="673"/>
      <c r="BE33" s="673">
        <f>IF(ISNUMBER(STDEV(BE8:BE30)),STDEV(BE8:BE30),"-")</f>
        <v>0</v>
      </c>
      <c r="BF33" s="678">
        <f>IF(ISNUMBER(STDEV(BF8:BF30)),STDEV(BF8:BF30),"-")</f>
        <v>0</v>
      </c>
      <c r="BG33" s="1052">
        <f>IF(ISNUMBER(STDEV(BG8:BG30)),STDEV(BG8:BG30),"-")</f>
        <v>0.27672424872004225</v>
      </c>
      <c r="BH33" s="1058">
        <f>IF(ISNUMBER(STDEV(BH8:BH30)),STDEV(BH8:BH30),"-")</f>
        <v>7.4377496898530335</v>
      </c>
      <c r="BI33" s="273">
        <f>IF(ISNUMBER(STDEV(BI8:BI30)),STDEV(BI8:BI30),"-")</f>
        <v>0.11403865599126763</v>
      </c>
      <c r="BJ33" s="244" t="str">
        <f>IF(ISNUMBER(BL33/BM33),BL33/BM33," - ")</f>
        <v xml:space="preserve"> - </v>
      </c>
      <c r="BK33" s="709"/>
      <c r="BL33" s="681">
        <f>IF(ISNUMBER(STDEV(BL8:BL30)),STDEV(BL8:BL30),"-")</f>
        <v>0.58236345837055681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N8CB0Nih+1FdMg7Di9lJ+6wm++EcRZYDL/tkkCD65hQL99MbCqkAisDJzdWWD/e6PMGWCmBHBEXiUP81UJRtQ==" saltValue="0UWWtHuSO/CLrIiAv5i8/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TOLEDO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340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198</v>
      </c>
      <c r="AA9" s="551" t="str">
        <f>IF(ISNUMBER(IF(J_V="SI",Datos!L9,Datos!L9+Datos!AB9)-IF(Monitorios="SI",Datos!CD9,0)),
                          IF(J_V="SI",Datos!L9,Datos!L9+Datos!AB9)-IF(Monitorios="SI",Datos!CD9,0),
                          " - ")</f>
        <v xml:space="preserve"> - </v>
      </c>
      <c r="AB9" s="549"/>
      <c r="AC9" s="549"/>
      <c r="AD9" s="563"/>
      <c r="AE9" s="563">
        <f>IF(ISNUMBER(Datos!R9),Datos!R9," - ")</f>
        <v>5539</v>
      </c>
      <c r="AF9" s="693" t="str">
        <f>IF(ISNUMBER(Datos!BV9),Datos!BV9," - ")</f>
        <v xml:space="preserve"> - </v>
      </c>
      <c r="AG9" s="552" t="str">
        <f>IF(ISNUMBER(Datos!DV9),Datos!DV9," - ")</f>
        <v xml:space="preserve"> - </v>
      </c>
      <c r="AH9" s="553"/>
      <c r="AI9" s="554"/>
      <c r="AJ9" s="552">
        <f>IF(ISNUMBER(Datos!M9),Datos!M9," - ")</f>
        <v>648</v>
      </c>
      <c r="AK9" s="693">
        <f>IF(ISNUMBER(Datos!N9),Datos!N9," - ")</f>
        <v>564</v>
      </c>
      <c r="AL9" s="693" t="str">
        <f>IF(ISNUMBER(Datos!BW9),Datos!BW9," - ")</f>
        <v xml:space="preserve"> - </v>
      </c>
      <c r="AM9" s="762" t="str">
        <f>IF(ISNUMBER(Datos!BX9),Datos!BX9," - ")</f>
        <v xml:space="preserve"> - </v>
      </c>
      <c r="AN9" s="763"/>
      <c r="AO9" s="764">
        <f>IF(ISNUMBER(((NºAsuntos!I9/NºAsuntos!G9)*11)/factor_trimestre),((NºAsuntos!I9/NºAsuntos!G9)*11)/factor_trimestre," - ")</f>
        <v>7.2966565349544075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2.6310913470446545E-2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88</v>
      </c>
      <c r="G10" s="552">
        <f>IF(ISNUMBER(Datos!I10),Datos!I10," - ")</f>
        <v>88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6</v>
      </c>
      <c r="AA10" s="551">
        <f>IF(ISNUMBER(Datos!L10),Datos!L10,"-")</f>
        <v>92</v>
      </c>
      <c r="AB10" s="549"/>
      <c r="AC10" s="549"/>
      <c r="AD10" s="563"/>
      <c r="AE10" s="563">
        <f>IF(ISNUMBER(Datos!R10),Datos!R10," - ")</f>
        <v>20</v>
      </c>
      <c r="AF10" s="693" t="str">
        <f>IF(ISNUMBER(Datos!BV10),Datos!BV10," - ")</f>
        <v xml:space="preserve"> - </v>
      </c>
      <c r="AG10" s="552" t="str">
        <f>IF(ISNUMBER(Datos!DV10),Datos!DV10," - ")</f>
        <v xml:space="preserve"> - </v>
      </c>
      <c r="AH10" s="553"/>
      <c r="AI10" s="554"/>
      <c r="AJ10" s="552">
        <f>IF(ISNUMBER(Datos!M10),Datos!M10," - ")</f>
        <v>5</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23.000000000000004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88</v>
      </c>
      <c r="G14" s="1197">
        <f>SUBTOTAL(9,G8:G13)</f>
        <v>88</v>
      </c>
      <c r="H14" s="1211"/>
      <c r="I14" s="1197">
        <f t="shared" ref="I14:N14" si="1">SUBTOTAL(9,I8:I13)</f>
        <v>0</v>
      </c>
      <c r="J14" s="1164">
        <f t="shared" si="1"/>
        <v>0</v>
      </c>
      <c r="K14" s="1211">
        <f t="shared" si="1"/>
        <v>0</v>
      </c>
      <c r="L14" s="1211">
        <f t="shared" si="1"/>
        <v>0</v>
      </c>
      <c r="M14" s="1211">
        <f t="shared" si="1"/>
        <v>0</v>
      </c>
      <c r="N14" s="1211">
        <f t="shared" si="1"/>
        <v>344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204</v>
      </c>
      <c r="AA14" s="1199">
        <f t="shared" si="3"/>
        <v>92</v>
      </c>
      <c r="AB14" s="1199">
        <f t="shared" si="3"/>
        <v>0</v>
      </c>
      <c r="AC14" s="1199">
        <f t="shared" si="3"/>
        <v>0</v>
      </c>
      <c r="AD14" s="1199">
        <f t="shared" si="3"/>
        <v>0</v>
      </c>
      <c r="AE14" s="1199">
        <f t="shared" si="3"/>
        <v>5559</v>
      </c>
      <c r="AF14" s="1211">
        <f t="shared" si="3"/>
        <v>0</v>
      </c>
      <c r="AG14" s="1211">
        <f t="shared" si="3"/>
        <v>0</v>
      </c>
      <c r="AH14" s="1211">
        <f t="shared" si="3"/>
        <v>0</v>
      </c>
      <c r="AI14" s="1211">
        <f t="shared" si="3"/>
        <v>0</v>
      </c>
      <c r="AJ14" s="1211">
        <f t="shared" si="3"/>
        <v>653</v>
      </c>
      <c r="AK14" s="1211">
        <f t="shared" si="3"/>
        <v>567</v>
      </c>
      <c r="AL14" s="1211">
        <f t="shared" si="3"/>
        <v>0</v>
      </c>
      <c r="AM14" s="1211">
        <f t="shared" si="3"/>
        <v>0</v>
      </c>
      <c r="AN14" s="1211">
        <f t="shared" si="3"/>
        <v>0</v>
      </c>
      <c r="AO14" s="1203">
        <f>IF(ISNUMBER(((NºAsuntos!I14/NºAsuntos!G14)*11)/factor_trimestre),((NºAsuntos!I14/NºAsuntos!G14)*11)/factor_trimestre," - ")</f>
        <v>7.4103802051901022</v>
      </c>
      <c r="AP14" s="1213" t="str">
        <f>IF(ISNUMBER(Datos!CI14/Datos!CJ14),Datos!CI14/Datos!CJ14," - ")</f>
        <v xml:space="preserve"> - </v>
      </c>
      <c r="AQ14" s="1236">
        <f t="shared" ref="AQ14:AV14" si="4">SUBTOTAL(9,AQ9:AQ13)</f>
        <v>0</v>
      </c>
      <c r="AR14" s="1236">
        <f t="shared" si="4"/>
        <v>-6.4598177438644364E-2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799</v>
      </c>
      <c r="G16" s="552">
        <f>IF(ISNUMBER(IF(D_I="SI",Datos!I16,Datos!I16+Datos!AC16)),IF(D_I="SI",Datos!I16,Datos!I16+Datos!AC16)," - ")</f>
        <v>799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660</v>
      </c>
      <c r="Z16" s="805">
        <f>IF(ISNUMBER(Datos!Q16),Datos!Q16," - ")</f>
        <v>4</v>
      </c>
      <c r="AA16" s="551">
        <f>IF(ISNUMBER(IF(D_I="SI",Datos!L16,Datos!L16+Datos!AF16)),IF(D_I="SI",Datos!L16,Datos!L16+Datos!AF16)," - ")</f>
        <v>1362</v>
      </c>
      <c r="AB16" s="549"/>
      <c r="AC16" s="549"/>
      <c r="AD16" s="563"/>
      <c r="AE16" s="563">
        <f>IF(ISNUMBER(Datos!R16),Datos!R16," - ")</f>
        <v>85</v>
      </c>
      <c r="AF16" s="693" t="str">
        <f>IF(ISNUMBER(Datos!BV16),Datos!BV16," - ")</f>
        <v xml:space="preserve"> - </v>
      </c>
      <c r="AG16" s="552"/>
      <c r="AH16" s="553"/>
      <c r="AI16" s="554"/>
      <c r="AJ16" s="552">
        <f>IF(ISNUMBER(Datos!M16),Datos!M16," - ")</f>
        <v>121</v>
      </c>
      <c r="AK16" s="693">
        <f>IF(ISNUMBER(Datos!N16),Datos!N16," - ")</f>
        <v>352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6.1909090909090914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107</v>
      </c>
      <c r="Z18" s="805">
        <f>IF(ISNUMBER(Datos!Q18),Datos!Q18," - ")</f>
        <v>1</v>
      </c>
      <c r="AA18" s="551">
        <f>IF(ISNUMBER(Datos!L18),Datos!L18,"-")</f>
        <v>52</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21</v>
      </c>
      <c r="AK18" s="693">
        <f>IF(ISNUMBER(Datos!N18),Datos!N18," - ")</f>
        <v>50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1.457943925233645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799</v>
      </c>
      <c r="G23" s="1197">
        <f>SUBTOTAL(9,G16:G22)</f>
        <v>847</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767</v>
      </c>
      <c r="Z23" s="1240">
        <f t="shared" si="6"/>
        <v>5</v>
      </c>
      <c r="AA23" s="1240">
        <f t="shared" si="6"/>
        <v>1414</v>
      </c>
      <c r="AB23" s="1240">
        <f t="shared" si="6"/>
        <v>0</v>
      </c>
      <c r="AC23" s="1240">
        <f t="shared" si="6"/>
        <v>0</v>
      </c>
      <c r="AD23" s="1240">
        <f t="shared" si="6"/>
        <v>0</v>
      </c>
      <c r="AE23" s="1240">
        <f t="shared" si="6"/>
        <v>89</v>
      </c>
      <c r="AF23" s="1240">
        <f t="shared" si="6"/>
        <v>0</v>
      </c>
      <c r="AG23" s="1240">
        <f t="shared" si="6"/>
        <v>0</v>
      </c>
      <c r="AH23" s="1240">
        <f t="shared" si="6"/>
        <v>0</v>
      </c>
      <c r="AI23" s="1240">
        <f t="shared" si="6"/>
        <v>0</v>
      </c>
      <c r="AJ23" s="1240">
        <f t="shared" si="6"/>
        <v>142</v>
      </c>
      <c r="AK23" s="1240">
        <f t="shared" si="6"/>
        <v>402</v>
      </c>
      <c r="AL23" s="1240">
        <f t="shared" si="6"/>
        <v>0</v>
      </c>
      <c r="AM23" s="1240">
        <f t="shared" si="6"/>
        <v>0</v>
      </c>
      <c r="AN23" s="1240">
        <f t="shared" si="6"/>
        <v>0</v>
      </c>
      <c r="AO23" s="1242">
        <f>IF(ISNUMBER(((NºAsuntos!I23/NºAsuntos!G23)*11)/factor_trimestre),((NºAsuntos!I23/NºAsuntos!G23)*11)/factor_trimestre," - ")</f>
        <v>5.5306388526727517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887</v>
      </c>
      <c r="G31" s="1117">
        <f t="shared" si="12"/>
        <v>935</v>
      </c>
      <c r="H31" s="1118">
        <f t="shared" si="12"/>
        <v>0</v>
      </c>
      <c r="I31" s="1117">
        <f t="shared" si="12"/>
        <v>0</v>
      </c>
      <c r="J31" s="1119">
        <f t="shared" si="12"/>
        <v>0</v>
      </c>
      <c r="K31" s="1117">
        <f t="shared" si="12"/>
        <v>0</v>
      </c>
      <c r="L31" s="1120">
        <f t="shared" si="12"/>
        <v>0</v>
      </c>
      <c r="M31" s="1117">
        <f t="shared" si="12"/>
        <v>0</v>
      </c>
      <c r="N31" s="1118">
        <f t="shared" si="12"/>
        <v>357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779</v>
      </c>
      <c r="Z31" s="1124">
        <f t="shared" si="13"/>
        <v>209</v>
      </c>
      <c r="AA31" s="1125">
        <f t="shared" si="13"/>
        <v>1506</v>
      </c>
      <c r="AB31" s="1125">
        <f t="shared" si="13"/>
        <v>0</v>
      </c>
      <c r="AC31" s="1125">
        <f t="shared" si="13"/>
        <v>0</v>
      </c>
      <c r="AD31" s="1126">
        <f t="shared" si="13"/>
        <v>0</v>
      </c>
      <c r="AE31" s="1126">
        <f t="shared" si="13"/>
        <v>5648</v>
      </c>
      <c r="AF31" s="1127">
        <f t="shared" si="13"/>
        <v>0</v>
      </c>
      <c r="AG31" s="1128">
        <f t="shared" si="13"/>
        <v>0</v>
      </c>
      <c r="AH31" s="1129">
        <f t="shared" si="13"/>
        <v>0</v>
      </c>
      <c r="AI31" s="1127">
        <f t="shared" si="13"/>
        <v>0</v>
      </c>
      <c r="AJ31" s="1117">
        <f t="shared" si="13"/>
        <v>795</v>
      </c>
      <c r="AK31" s="1117">
        <f t="shared" si="13"/>
        <v>969</v>
      </c>
      <c r="AL31" s="1117">
        <f t="shared" si="13"/>
        <v>0</v>
      </c>
      <c r="AM31" s="1130">
        <f t="shared" si="13"/>
        <v>0</v>
      </c>
      <c r="AN31" s="1120">
        <f>IF(ISNUMBER(Datos!K31/Datos!J31),Datos!K31/Datos!J31," - ")</f>
        <v>0.8668891360771227</v>
      </c>
      <c r="AO31" s="1120">
        <f>IF(ISNUMBER(FIND("06",Criterios!A8,1)),(IF(ISNUMBER(((Datos!R31/Datos!Q31)*11)/factor_trimestre),((Datos!R31/Datos!Q31)*11)/factor_trimestre," - ")),(IF(ISNUMBER(((Datos!L31/Datos!K31)*11)/factor_trimestre),((Datos!L31/Datos!K31)*11)/factor_trimestre," - ")))</f>
        <v>6.8006843455945258</v>
      </c>
      <c r="AP31" s="1131" t="str">
        <f>IF(ISNUMBER(Datos!CI31/Datos!CJ31),Datos!CI31/Datos!CJ31," - ")</f>
        <v xml:space="preserve"> - </v>
      </c>
      <c r="AQ31" s="1131">
        <f>IF(OR(ISNUMBER(FIND("01",Criterios!A8,1)),ISNUMBER(FIND("02",Criterios!A8,1)),ISNUMBER(FIND("03",Criterios!A8,1)),ISNUMBER(FIND("04",Criterios!A8,1))),(J31-Y31+K31)/(F31-K31),(I31-Y31+K31)/(F31-K31))</f>
        <v>-0.8782412626832018</v>
      </c>
      <c r="AR31" s="1131">
        <f>IF(ISNUMBER((Datos!P31-Datos!Q31+O31)/(Datos!R31-Datos!P31+Datos!Q31-O31)),(Datos!P31-Datos!Q31+O31)/(Datos!R31-Datos!P31+Datos!Q31-O31)," - ")</f>
        <v>2.690909090909091E-2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267.14285714285717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391.86154017288641</v>
      </c>
      <c r="G33" s="674">
        <f>IF(ISNUMBER(STDEV(G8:G30)),STDEV(G8:G30),"-")</f>
        <v>381.67282174284151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284.246246362953</v>
      </c>
      <c r="AK33" s="276"/>
      <c r="AL33" s="276">
        <f>IF(ISNUMBER(STDEV(AL8:AL30)),STDEV(AL8:AL30),"-")</f>
        <v>0</v>
      </c>
      <c r="AM33" s="278">
        <f>IF(ISNUMBER(STDEV(AM8:AM30)),STDEV(AM8:AM30),"-")</f>
        <v>0</v>
      </c>
      <c r="AN33" s="660">
        <f>IF(ISNUMBER(STDEV(AN8:AN30)),STDEV(AN8:AN30),"-")</f>
        <v>0</v>
      </c>
      <c r="AO33" s="661">
        <f>IF(ISNUMBER(STDEV(AO8:AO30)),STDEV(AO8:AO30),"-")</f>
        <v>7.4380470695275278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ygRu806NSrsA65Q3D0oz+r750EX11+LTAx9jEDWQuYPB2rLHSHxCq4Va1uNhtACDGrNnCgW5FgUiGwhxQcCzQ==" saltValue="DWuj3zXFVxTJCh50H5pr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hc0wRZQmK0NxaYEKaDjr72ovuJjaY0s0TaRp3HSgI6C9Fbp9edpv6w+VIPQuXNgD/EiY68vuv8bbXoFuPl2TQ==" saltValue="wrcIx4rBmVajyR8UaBRs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NL62iL/a9sHZdHLaJnb8ndsVQ+zXjTPvkif1FUVKm2mU/8KJqM73oxuhxUmaHb+oRRenkniCpxPtyp3VZctlw==" saltValue="MDConsd3BjjU8DAgvoWi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TOLEDO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0.39408569704284852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0.27866066874762557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WPr7MDqELaxc3I2SEonBpVE/v+vqPP0ONCe4HEpxbROVPkrYC3SJ/nTNvG1DB0vr3ZpElK1dhBxSwq1Gdwqpg==" saltValue="jppymp6iKYlnZd1j7Wy5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gyRtDDGgsUBr42PEq4Xu2CRhnYw28/0XR5AoOcr8uBmGCy9fb5SltPEbaeFFin7C7cwlGRq7nLeY2btlQjVOg==" saltValue="WjwcozTtkGX1n+7oNYrM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TOLEDO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4229</v>
      </c>
      <c r="D9" s="452" t="str">
        <f>IF(ISNUMBER(C9/Datos!BH9),C9/Datos!BH9," - ")</f>
        <v xml:space="preserve"> - </v>
      </c>
      <c r="E9" s="451">
        <f>IF(ISNUMBER(IF(J_V="SI",Datos!J9,Datos!J9+Datos!Z9)),IF(J_V="SI",Datos!J9,Datos!J9+Datos!Z9)," - ")</f>
        <v>1417</v>
      </c>
      <c r="F9" s="452">
        <f>IF(ISNUMBER(E9/B9),E9/B9," - ")</f>
        <v>283.39999999999998</v>
      </c>
      <c r="G9" s="451">
        <f>IF(ISNUMBER(IF(J_V="SI",Datos!K9,Datos!K9+Datos!AA9)),IF(J_V="SI",Datos!K9,Datos!K9+Datos!AA9)," - ")</f>
        <v>1645</v>
      </c>
      <c r="H9" s="452">
        <f>IF(ISNUMBER(G9/B9),G9/B9," - ")</f>
        <v>329</v>
      </c>
      <c r="I9" s="451">
        <f>IF(ISNUMBER(IF(J_V="SI",Datos!L9,Datos!L9+Datos!AB9)),IF(J_V="SI",Datos!L9,Datos!L9+Datos!AB9)," - ")</f>
        <v>4001</v>
      </c>
      <c r="J9" s="452">
        <f>IF(ISNUMBER(I9/B9),I9/B9," - ")</f>
        <v>800.2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88</v>
      </c>
      <c r="D10" s="452">
        <f>IF(ISNUMBER(C10/Datos!BH10),C10/Datos!BH10," - ")</f>
        <v>88</v>
      </c>
      <c r="E10" s="451">
        <f>IF(ISNUMBER(Datos!J10),Datos!J10," - ")</f>
        <v>16</v>
      </c>
      <c r="F10" s="452">
        <f>IF(ISNUMBER(E10/B10),E10/B10," - ")</f>
        <v>16</v>
      </c>
      <c r="G10" s="451">
        <f>IF(ISNUMBER(Datos!K10),Datos!K10," - ")</f>
        <v>12</v>
      </c>
      <c r="H10" s="452">
        <f>IF(ISNUMBER(G10/B10),G10/B10," - ")</f>
        <v>12</v>
      </c>
      <c r="I10" s="451">
        <f>IF(ISNUMBER(Datos!L10),Datos!L10," - ")</f>
        <v>92</v>
      </c>
      <c r="J10" s="452">
        <f>IF(ISNUMBER(I10/B10),I10/B10," - ")</f>
        <v>92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4317</v>
      </c>
      <c r="D14" s="1147" t="str">
        <f>IF(ISNUMBER(C14/Datos!BI14),C14/Datos!BI14," - ")</f>
        <v xml:space="preserve"> - </v>
      </c>
      <c r="E14" s="1146">
        <f>SUBTOTAL(9,E8:E13)</f>
        <v>1433</v>
      </c>
      <c r="F14" s="1147">
        <f>IF(ISNUMBER(E14/B14),E14/B14," - ")</f>
        <v>286.60000000000002</v>
      </c>
      <c r="G14" s="1146">
        <f>SUBTOTAL(9,G8:G13)</f>
        <v>1657</v>
      </c>
      <c r="H14" s="1147">
        <f>IF(ISNUMBER(G14/B14),G14/B14," - ")</f>
        <v>331.4</v>
      </c>
      <c r="I14" s="1146">
        <f>SUBTOTAL(9,I8:I13)</f>
        <v>4093</v>
      </c>
      <c r="J14" s="1147">
        <f>IF(ISNUMBER(I14/B14),I14/B14," - ")</f>
        <v>818.6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799</v>
      </c>
      <c r="D16" s="452" t="str">
        <f>IF(ISNUMBER(C16/Datos!BH16),C16/Datos!BH16," - ")</f>
        <v xml:space="preserve"> - </v>
      </c>
      <c r="E16" s="451">
        <f>IF(ISNUMBER(IF(D_I="SI",Datos!J16,Datos!J16+Datos!AD16)),IF(D_I="SI",Datos!J16,Datos!J16+Datos!AD16)," - ")</f>
        <v>1223</v>
      </c>
      <c r="F16" s="452">
        <f>IF(ISNUMBER(E16/B16),E16/B16," - ")</f>
        <v>407.66666666666669</v>
      </c>
      <c r="G16" s="451">
        <f>IF(ISNUMBER(IF(D_I="SI",Datos!K16,Datos!K16+Datos!AE16)),IF(D_I="SI",Datos!K16,Datos!K16+Datos!AE16)," - ")</f>
        <v>660</v>
      </c>
      <c r="H16" s="452">
        <f>IF(ISNUMBER(G16/B16),G16/B16," - ")</f>
        <v>220</v>
      </c>
      <c r="I16" s="451">
        <f>IF(ISNUMBER(IF(D_I="SI",Datos!L16,Datos!L16+Datos!AF16)),IF(D_I="SI",Datos!L16,Datos!L16+Datos!AF16)," - ")</f>
        <v>1362</v>
      </c>
      <c r="J16" s="452">
        <f>IF(ISNUMBER(I16/B16),I16/B16," - ")</f>
        <v>454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48</v>
      </c>
      <c r="D18" s="452">
        <f>IF(ISNUMBER(C18/Datos!BH18),C18/Datos!BH18," - ")</f>
        <v>48</v>
      </c>
      <c r="E18" s="451">
        <f>IF(ISNUMBER(IF(D_I="SI",Datos!J18,Datos!J18+Datos!AD18)),IF(D_I="SI",Datos!J18,Datos!J18+Datos!AD18)," - ")</f>
        <v>111</v>
      </c>
      <c r="F18" s="452">
        <f>IF(ISNUMBER(E18/B18),E18/B18," - ")</f>
        <v>111</v>
      </c>
      <c r="G18" s="451">
        <f>IF(ISNUMBER(IF(D_I="SI",Datos!K18,Datos!K18+Datos!AE18)),IF(D_I="SI",Datos!K18,Datos!K18+Datos!AE18)," - ")</f>
        <v>107</v>
      </c>
      <c r="H18" s="452">
        <f>IF(ISNUMBER(G18/B18),G18/B18," - ")</f>
        <v>107</v>
      </c>
      <c r="I18" s="451">
        <f>IF(ISNUMBER(IF(D_I="SI",Datos!L18,Datos!L18+Datos!AF18)),IF(D_I="SI",Datos!L18,Datos!L18+Datos!AF18)," - ")</f>
        <v>52</v>
      </c>
      <c r="J18" s="452">
        <f>IF(ISNUMBER(I18/B18),I18/B18," - ")</f>
        <v>52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847</v>
      </c>
      <c r="D23" s="1147" t="str">
        <f>IF(ISNUMBER(C23/Datos!BI23),C23/Datos!BI23," - ")</f>
        <v xml:space="preserve"> - </v>
      </c>
      <c r="E23" s="1146">
        <f>SUBTOTAL(9,E15:E22)</f>
        <v>1334</v>
      </c>
      <c r="F23" s="1147">
        <f>IF(ISNUMBER(E23/B23),E23/B23," - ")</f>
        <v>444.66666666666669</v>
      </c>
      <c r="G23" s="1146">
        <f>SUBTOTAL(9,G15:G22)</f>
        <v>767</v>
      </c>
      <c r="H23" s="1147">
        <f>IF(ISNUMBER(G23/B23),G23/B23," - ")</f>
        <v>255.66666666666666</v>
      </c>
      <c r="I23" s="1146">
        <f>SUBTOTAL(9,I15:I22)</f>
        <v>1414</v>
      </c>
      <c r="J23" s="1147">
        <f>IF(ISNUMBER(I23/B23),I23/B23," - ")</f>
        <v>471.33333333333331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5164</v>
      </c>
      <c r="D31" s="1085" t="str">
        <f>IF(ISNUMBER(C31/Datos!BI31),C31/Datos!BI31," - ")</f>
        <v xml:space="preserve"> - </v>
      </c>
      <c r="E31" s="1084">
        <f>SUBTOTAL(9,E9:E30)</f>
        <v>2767</v>
      </c>
      <c r="F31" s="1085">
        <f>IF(ISNUMBER(E31/B31),E31/B31," - ")</f>
        <v>345.875</v>
      </c>
      <c r="G31" s="1084">
        <f>SUBTOTAL(9,G9:G30)</f>
        <v>2424</v>
      </c>
      <c r="H31" s="1085">
        <f>IF(ISNUMBER(G31/B31),G31/B31," - ")</f>
        <v>303</v>
      </c>
      <c r="I31" s="1084">
        <f>SUBTOTAL(9,I9:I30)</f>
        <v>5507</v>
      </c>
      <c r="J31" s="1085">
        <f>IF(ISNUMBER(I31/B31),I31/B31," - ")</f>
        <v>688.375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ST6OZgdYnHH5nauVCSwcLZc4qC1DN3PR0+z5qS2rKzUMSMoCgI5jVAZUtNbUlYF45/xmqTUWxQvAK0YfafHQ==" saltValue="nHJywsv4cJI/bLAkyiBq4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TOLEDO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88</v>
      </c>
      <c r="G10" s="906">
        <f>IF(ISNUMBER(Datos!I10),Datos!I10," - ")</f>
        <v>88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92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23.000000000000004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88</v>
      </c>
      <c r="G14" s="1256">
        <f t="shared" si="0"/>
        <v>88</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0</v>
      </c>
      <c r="AE14" s="1257">
        <f t="shared" si="1"/>
        <v>0</v>
      </c>
      <c r="AF14" s="1257">
        <f t="shared" si="1"/>
        <v>92</v>
      </c>
      <c r="AG14" s="1257">
        <f t="shared" si="1"/>
        <v>0</v>
      </c>
      <c r="AH14" s="1257">
        <f t="shared" si="1"/>
        <v>0</v>
      </c>
      <c r="AI14" s="1257">
        <f t="shared" si="1"/>
        <v>0</v>
      </c>
      <c r="AJ14" s="1257">
        <f t="shared" si="1"/>
        <v>0</v>
      </c>
      <c r="AK14" s="1257">
        <f t="shared" si="1"/>
        <v>0</v>
      </c>
      <c r="AL14" s="1257">
        <f t="shared" si="1"/>
        <v>5</v>
      </c>
      <c r="AM14" s="1257">
        <f t="shared" si="1"/>
        <v>3</v>
      </c>
      <c r="AN14" s="1257">
        <f t="shared" si="1"/>
        <v>0</v>
      </c>
      <c r="AO14" s="1257">
        <f t="shared" si="1"/>
        <v>0</v>
      </c>
      <c r="AP14" s="1262">
        <f>IF(ISNUMBER(((Datos!L14/Datos!K14)*11)/factor_trimestre),((Datos!L14/Datos!K14)*11)/factor_trimestre," - ")</f>
        <v>7.4207511139401667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-0.13636363636363635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5.5306388526727517</v>
      </c>
      <c r="AQ23" s="1262">
        <f>IF(ISNUMBER(((Datos!M23/Datos!L23)*11)/factor_trimestre),((Datos!M23/Datos!L23)*11)/factor_trimestre," - ")</f>
        <v>0.30127298444130129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9.8765432098765427E-2</v>
      </c>
      <c r="AW23" s="1265">
        <f>IF(ISNUMBER((Datos!Q23-Datos!R23)/(Datos!S23-Datos!Q23+Datos!R23)),(Datos!Q23-Datos!R23)/(Datos!S23-Datos!Q23+Datos!R23)," - ")</f>
        <v>-0.61764705882352944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88</v>
      </c>
      <c r="G31" s="1278">
        <f t="shared" si="8"/>
        <v>88</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0</v>
      </c>
      <c r="AE31" s="1284">
        <f t="shared" si="9"/>
        <v>0</v>
      </c>
      <c r="AF31" s="1285">
        <f t="shared" si="9"/>
        <v>92</v>
      </c>
      <c r="AG31" s="1285">
        <f t="shared" si="9"/>
        <v>0</v>
      </c>
      <c r="AH31" s="1285">
        <f t="shared" si="9"/>
        <v>0</v>
      </c>
      <c r="AI31" s="1285">
        <f t="shared" si="9"/>
        <v>0</v>
      </c>
      <c r="AJ31" s="1286">
        <f t="shared" si="9"/>
        <v>0</v>
      </c>
      <c r="AK31" s="1286">
        <f t="shared" si="9"/>
        <v>0</v>
      </c>
      <c r="AL31" s="1278">
        <f t="shared" si="9"/>
        <v>5</v>
      </c>
      <c r="AM31" s="1278">
        <f t="shared" si="9"/>
        <v>3</v>
      </c>
      <c r="AN31" s="1278">
        <f t="shared" si="9"/>
        <v>0</v>
      </c>
      <c r="AO31" s="1278">
        <f t="shared" si="9"/>
        <v>0</v>
      </c>
      <c r="AP31" s="1278">
        <f>IF(ISNUMBER(((Datos!L31/Datos!K31)*11)/factor_trimestre),((Datos!L31/Datos!K31)*11)/factor_trimestre," - ")</f>
        <v>6.8006843455945258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-0.13636363636363635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2.690909090909091E-2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35.200000000000003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48.199585060454616</v>
      </c>
      <c r="G33" s="1007">
        <f>IF(ISNUMBER(STDEV(G8:G30)),STDEV(G8:G30),"-")</f>
        <v>48.199585060454616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2.7386127875258306</v>
      </c>
      <c r="AM33" s="1006"/>
      <c r="AN33" s="1006">
        <f>IF(ISNUMBER(STDEV(AN8:AN30)),STDEV(AN8:AN30),"-")</f>
        <v>0</v>
      </c>
      <c r="AO33" s="1012">
        <f>IF(ISNUMBER(STDEV(AO8:AO30)),STDEV(AO8:AO30),"-")</f>
        <v>0</v>
      </c>
      <c r="AP33" s="1065">
        <f>IF(ISNUMBER(STDEV(AP8:AP30)),STDEV(AP8:AP30),"-")</f>
        <v>9.5870059551956111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BWsZs/dEzUCHlnu5RCLlm+NuvBA++zw8hwFdxhIMjsYupPxvdgaYZZNqm+3eEWJ31QtxM/MvdeWPibJ3zKyVw==" saltValue="PR4v4SvCw3+ulorYlcrY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TOLEDO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f>IF(ISNUMBER(E12/Datos!BH12),E12/Datos!BH12," - ")</f>
        <v>0</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f>IF(ISNUMBER(E17/Datos!BH17),E17/Datos!BH17," - ")</f>
        <v>0</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6NQbt4/3r3hU6Tyrncu/8FfldzttHP/2TYC7SEfrTctAdAd1VfiAIwSVR6ctX8oPFnszzm1Ub7z/BT+yH8KAig==" saltValue="CXnPfMb8xIHAzeormttq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TOLEDO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648</v>
      </c>
      <c r="E9" s="452">
        <f t="shared" ref="E9:E14" si="0">IF(ISNUMBER(D9/B9),D9/B9," - ")</f>
        <v>129.6</v>
      </c>
      <c r="F9" s="451">
        <f>IF(ISNUMBER(Datos!N9),Datos!N9," - ")</f>
        <v>564</v>
      </c>
      <c r="G9" s="452">
        <f t="shared" ref="G9:G14" si="1">IF(ISNUMBER(F9/B9),F9/B9," - ")</f>
        <v>112.8</v>
      </c>
      <c r="H9" s="451">
        <f>IF(ISNUMBER(Datos!O9),Datos!O9," - ")</f>
        <v>598</v>
      </c>
      <c r="I9" s="452">
        <f>IF(ISNUMBER(H9/B9),H9/B9," - ")</f>
        <v>119.6</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3</v>
      </c>
      <c r="G10" s="452">
        <f>IF(ISNUMBER(F10/B10),F10/B10," - ")</f>
        <v>3</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653</v>
      </c>
      <c r="E14" s="1147">
        <f t="shared" si="0"/>
        <v>108.83333333333333</v>
      </c>
      <c r="F14" s="1146">
        <f>SUBTOTAL(9,F9:F13)</f>
        <v>567</v>
      </c>
      <c r="G14" s="1147">
        <f t="shared" si="1"/>
        <v>94.5</v>
      </c>
      <c r="H14" s="1146">
        <f>SUBTOTAL(9,H9:H13)</f>
        <v>600</v>
      </c>
      <c r="I14" s="1147">
        <f>IF(ISNUMBER(H14/B14),H14/B14," - ")</f>
        <v>100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121</v>
      </c>
      <c r="E16" s="452">
        <f t="shared" ref="E16:E23" si="3">IF(ISNUMBER(D16/B16),D16/B16," - ")</f>
        <v>40.333333333333336</v>
      </c>
      <c r="F16" s="451">
        <f>IF(ISNUMBER(Datos!N16),Datos!N16," - ")</f>
        <v>352</v>
      </c>
      <c r="G16" s="452">
        <f t="shared" ref="G16:G23" si="4">IF(ISNUMBER(F16/B16),F16/B16," - ")</f>
        <v>117.33333333333333</v>
      </c>
      <c r="H16" s="451">
        <f>IF(ISNUMBER(Datos!O16),Datos!O16," - ")</f>
        <v>3</v>
      </c>
      <c r="I16" s="452">
        <f t="shared" ref="I16:I22" si="5">IF(ISNUMBER(H16/B16),H16/B16," - ")</f>
        <v>1</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21</v>
      </c>
      <c r="E18" s="452">
        <f>IF(ISNUMBER(D18/B18),D18/B18," - ")</f>
        <v>21</v>
      </c>
      <c r="F18" s="451">
        <f>IF(ISNUMBER(Datos!N18),Datos!N18," - ")</f>
        <v>50</v>
      </c>
      <c r="G18" s="452">
        <f>IF(ISNUMBER(F18/B18),F18/B18," - ")</f>
        <v>50</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142</v>
      </c>
      <c r="E23" s="1147">
        <f t="shared" si="3"/>
        <v>35.5</v>
      </c>
      <c r="F23" s="1146">
        <f>SUBTOTAL(9,F16:F22)</f>
        <v>402</v>
      </c>
      <c r="G23" s="1147">
        <f t="shared" si="4"/>
        <v>100.5</v>
      </c>
      <c r="H23" s="1146">
        <f>SUBTOTAL(9,H16:H22)</f>
        <v>4</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795</v>
      </c>
      <c r="E31" s="1085">
        <f>IF(ISNUMBER(D31/B31),D31/B31," - ")</f>
        <v>99.375</v>
      </c>
      <c r="F31" s="1084">
        <f>SUBTOTAL(9,F8:F30)</f>
        <v>969</v>
      </c>
      <c r="G31" s="1085">
        <f>IF(ISNUMBER(F31/B31),F31/B31," - ")</f>
        <v>121.125</v>
      </c>
      <c r="H31" s="1084">
        <f>SUBTOTAL(9,H8:H30)</f>
        <v>604</v>
      </c>
      <c r="I31" s="1085">
        <f>IF(ISNUMBER(H31/B31),H31/B31," - ")</f>
        <v>75.5</v>
      </c>
    </row>
    <row r="34" spans="1:1">
      <c r="A34" s="439" t="str">
        <f>Criterios!A4</f>
        <v>Fecha Informe: 05 may. 2023</v>
      </c>
    </row>
    <row r="39" spans="1:1">
      <c r="A39" s="462"/>
    </row>
  </sheetData>
  <sheetProtection algorithmName="SHA-512" hashValue="mrbKyuOXs78EUj7/0Oecfw/vH5X4tTOFfVD7lUkL+ntPAHmI+M+5N7pk9gUXEMIruhbIbh/kraOTwp8ra7Qzzw==" saltValue="qr6BknfyvfUKtEPD2rEV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TOLEDO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340</v>
      </c>
      <c r="C9" s="489">
        <f>IF(ISNUMBER(Datos!Q9),Datos!Q9," - ")</f>
        <v>198</v>
      </c>
      <c r="D9" s="456">
        <f>IF(ISNUMBER(Datos!R9),Datos!R9," - ")</f>
        <v>5539</v>
      </c>
    </row>
    <row r="10" spans="1:4">
      <c r="A10" s="450" t="str">
        <f>Datos!A10</f>
        <v>Jdos. Violencia contra la mujer</v>
      </c>
      <c r="B10" s="488">
        <f>IF(ISNUMBER(Datos!P10),Datos!P10," - ")</f>
        <v>4</v>
      </c>
      <c r="C10" s="489">
        <f>IF(ISNUMBER(Datos!Q10),Datos!Q10," - ")</f>
        <v>6</v>
      </c>
      <c r="D10" s="456">
        <f>IF(ISNUMBER(Datos!R10),Datos!R10," - ")</f>
        <v>20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344</v>
      </c>
      <c r="C14" s="1150">
        <f>SUBTOTAL(9,C9:C13)</f>
        <v>204</v>
      </c>
      <c r="D14" s="1148">
        <f>SUBTOTAL(9,D9:D13)</f>
        <v>5559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11</v>
      </c>
      <c r="C16" s="489">
        <f>IF(ISNUMBER(Datos!Q16),Datos!Q16," - ")</f>
        <v>4</v>
      </c>
      <c r="D16" s="456">
        <f>IF(ISNUMBER(Datos!R16),Datos!R16," - ")</f>
        <v>85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5</v>
      </c>
      <c r="D23" s="1148">
        <f>SUBTOTAL(9,D16:D22)</f>
        <v>89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357</v>
      </c>
      <c r="C31" s="1089">
        <f>SUBTOTAL(9,C8:C30)</f>
        <v>209</v>
      </c>
      <c r="D31" s="1090">
        <f>SUBTOTAL(9,D8:D30)</f>
        <v>5648</v>
      </c>
    </row>
    <row r="32" spans="1:4" ht="7.5" customHeight="1"/>
    <row r="33" spans="1:1" ht="6" customHeight="1"/>
    <row r="34" spans="1:1">
      <c r="A34" s="439" t="str">
        <f>Criterios!A4</f>
        <v>Fecha Informe: 05 may. 2023</v>
      </c>
    </row>
    <row r="39" spans="1:1">
      <c r="A39" s="462"/>
    </row>
  </sheetData>
  <sheetProtection algorithmName="SHA-512" hashValue="HAD2y6hJNFLCsw419iY6jseE0sWsBfUyDgiiUm6SzHSTdhf5J1loTW7NKL6pKA5KQi6lbZQj+I3LIaxr7mmgiA==" saltValue="Xw3DZKQGV/Tiw3pFmyMr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TOLEDO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-5.3763440860215055E-2</v>
      </c>
      <c r="C10" s="515">
        <f>IF(ISNUMBER((Datos!J10-Datos!T10)/Datos!T10),(Datos!J10-Datos!T10)/Datos!T10," - ")</f>
        <v>0.77777777777777779</v>
      </c>
      <c r="D10" s="515">
        <f>IF(ISNUMBER((Datos!K10-Datos!U10)/Datos!U10),(Datos!K10-Datos!U10)/Datos!U10," - ")</f>
        <v>0.7142857142857143</v>
      </c>
      <c r="E10" s="515">
        <f>IF(ISNUMBER((Datos!L10-Datos!V10)/Datos!V10),(Datos!L10-Datos!V10)/Datos!V10," - ")</f>
        <v>-3.1578947368421054E-2</v>
      </c>
      <c r="F10" s="515">
        <f>IF(ISNUMBER((Datos!M10-Datos!W10)/Datos!W10),(Datos!M10-Datos!W10)/Datos!W10," - ")</f>
        <v>0</v>
      </c>
      <c r="G10" s="516">
        <f>IF(ISNUMBER((Datos!N10-Datos!X10)/Datos!X10),(Datos!N10-Datos!X10)/Datos!X10," - ")</f>
        <v>0.5</v>
      </c>
      <c r="H10" s="514">
        <f>IF(ISNUMBER(((NºAsuntos!G10/NºAsuntos!E10)-Datos!BD10)/Datos!BD10),((NºAsuntos!G10/NºAsuntos!E10)-Datos!BD10)/Datos!BD10," - ")</f>
        <v>-3.5714285714285726E-2</v>
      </c>
      <c r="I10" s="515">
        <f>IF(ISNUMBER(((NºAsuntos!I10/NºAsuntos!G10)-Datos!BE10)/Datos!BE10),((NºAsuntos!I10/NºAsuntos!G10)-Datos!BE10)/Datos!BE10," - ")</f>
        <v>-0.43508771929824558</v>
      </c>
      <c r="J10" s="521">
        <f>IF(ISNUMBER((('Resol  Asuntos'!D10/NºAsuntos!G10)-Datos!BF10)/Datos!BF10),(('Resol  Asuntos'!D10/NºAsuntos!G10)-Datos!BF10)/Datos!BF10," - ")</f>
        <v>-0.41666666666666663</v>
      </c>
      <c r="K10" s="522">
        <f>IF(ISNUMBER((((NºAsuntos!C10+NºAsuntos!E10)/NºAsuntos!G10)-Datos!BG10)/Datos!BG10),(((NºAsuntos!C10+NºAsuntos!E10)/NºAsuntos!G10)-Datos!BG10)/Datos!BG10," - ")</f>
        <v>-0.40522875816993464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45.41935483870968</v>
      </c>
      <c r="C14" s="1152">
        <f>IF(ISNUMBER(
   IF(J_V="SI",(Datos!J14-Datos!T14)/Datos!T14,(Datos!J14+Datos!Z14-(Datos!T14+Datos!AH14))/(Datos!T14+Datos!AH14))
     ),IF(J_V="SI",(Datos!J14-Datos!T14)/Datos!T14,(Datos!J14+Datos!Z14-(Datos!T14+Datos!AH14))/(Datos!T14+Datos!AH14))," - ")</f>
        <v>158.22222222222223</v>
      </c>
      <c r="D14" s="1152">
        <f>IF(ISNUMBER(
   IF(J_V="SI",(Datos!K14-Datos!U14)/Datos!U14,(Datos!K14+Datos!AA14-(Datos!U14+Datos!AI14))/(Datos!U14+Datos!AI14))
     ),IF(J_V="SI",(Datos!K14-Datos!U14)/Datos!U14,(Datos!K14+Datos!AA14-(Datos!U14+Datos!AI14))/(Datos!U14+Datos!AI14))," - ")</f>
        <v>235.71428571428572</v>
      </c>
      <c r="E14" s="1152">
        <f>IF(ISNUMBER(
   IF(J_V="SI",(Datos!L14-Datos!V14)/Datos!V14,(Datos!L14+Datos!AB14-(Datos!V14+Datos!AJ14))/(Datos!V14+Datos!AJ14))
     ),IF(J_V="SI",(Datos!L14-Datos!V14)/Datos!V14,(Datos!L14+Datos!AB14-(Datos!V14+Datos!AJ14))/(Datos!V14+Datos!AJ14))," - ")</f>
        <v>42.084210526315786</v>
      </c>
      <c r="F14" s="1153">
        <f>IF(ISNUMBER((Datos!M14-Datos!W14)/Datos!W14),(Datos!M14-Datos!W14)/Datos!W14," - ")</f>
        <v>129.6</v>
      </c>
      <c r="G14" s="1154">
        <f>IF(ISNUMBER((Datos!N14-Datos!X14)/Datos!X14),(Datos!N14-Datos!X14)/Datos!X14," - ")</f>
        <v>282.5</v>
      </c>
      <c r="H14" s="1154">
        <f>IF(ISNUMBER(((NºAsuntos!G14/NºAsuntos!E14)-Datos!BD14)/Datos!BD14),((NºAsuntos!G14/NºAsuntos!E14)-Datos!BD14)/Datos!BD14," - ")</f>
        <v>0.48669125710298078</v>
      </c>
      <c r="I14" s="1154">
        <f>IF(ISNUMBER(((NºAsuntos!I14/NºAsuntos!G14)-Datos!BE14)/Datos!BE14),((NºAsuntos!I14/NºAsuntos!G14)-Datos!BE14)/Datos!BE14," - ")</f>
        <v>-0.81799066162690981</v>
      </c>
      <c r="J14" s="1154">
        <f>IF(ISNUMBER((('Resol  Asuntos'!D14/NºAsuntos!G14)-Datos!BF14)/Datos!BF14),(('Resol  Asuntos'!D14/NºAsuntos!G14)-Datos!BF14)/Datos!BF14," - ")</f>
        <v>-0.44828002414001211</v>
      </c>
      <c r="K14" s="1154">
        <f>IF(ISNUMBER((((NºAsuntos!C14+NºAsuntos!E14)/NºAsuntos!G14)-Datos!BG14)/Datos!BG14),(((NºAsuntos!C14+NºAsuntos!E14)/NºAsuntos!G14)-Datos!BG14)/Datos!BG14," - ")</f>
        <v>-0.76185404759369046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-7.6923076923076927E-2</v>
      </c>
      <c r="C18" s="515">
        <f>IF(ISNUMBER(
   IF(D_I="SI",(Datos!J18-Datos!T18)/Datos!T18,(Datos!J18+Datos!AD18-(Datos!T18+Datos!AL18))/(Datos!T18+Datos!AL18))
     ),IF(D_I="SI",(Datos!J18-Datos!T18)/Datos!T18,(Datos!J18+Datos!AD18-(Datos!T18+Datos!AL18))/(Datos!T18+Datos!AL18))," - ")</f>
        <v>0.1326530612244898</v>
      </c>
      <c r="D18" s="515">
        <f>IF(ISNUMBER(
   IF(D_I="SI",(Datos!K18-Datos!U18)/Datos!U18,(Datos!K18+Datos!AE18-(Datos!U18+Datos!AM18))/(Datos!U18+Datos!AM18))
     ),IF(D_I="SI",(Datos!K18-Datos!U18)/Datos!U18,(Datos!K18+Datos!AE18-(Datos!U18+Datos!AM18))/(Datos!U18+Datos!AM18))," - ")</f>
        <v>0.15053763440860216</v>
      </c>
      <c r="E18" s="515">
        <f>IF(ISNUMBER(
   IF(D_I="SI",(Datos!L18-Datos!V18)/Datos!V18,(Datos!L18+Datos!AF18-(Datos!V18+Datos!AN18))/(Datos!V18+Datos!AN18))
     ),IF(D_I="SI",(Datos!L18-Datos!V18)/Datos!V18,(Datos!L18+Datos!AF18-(Datos!V18+Datos!AN18))/(Datos!V18+Datos!AN18))," - ")</f>
        <v>-8.771929824561403E-2</v>
      </c>
      <c r="F18" s="515">
        <f>IF(ISNUMBER((Datos!M18-Datos!W18)/Datos!W18),(Datos!M18-Datos!W18)/Datos!W18," - ")</f>
        <v>0.75</v>
      </c>
      <c r="G18" s="516">
        <f>IF(ISNUMBER((Datos!N18-Datos!X18)/Datos!X18),(Datos!N18-Datos!X18)/Datos!X18," - ")</f>
        <v>4.1666666666666664E-2</v>
      </c>
      <c r="H18" s="514">
        <f>IF(ISNUMBER(((NºAsuntos!G18/NºAsuntos!E18)-Datos!BD18)/Datos!BD18),((NºAsuntos!G18/NºAsuntos!E18)-Datos!BD18)/Datos!BD18," - ")</f>
        <v>1.5789983531918995E-2</v>
      </c>
      <c r="I18" s="515">
        <f>IF(ISNUMBER(((NºAsuntos!I18/NºAsuntos!G18)-Datos!BE18)/Datos!BE18),((NºAsuntos!I18/NºAsuntos!G18)-Datos!BE18)/Datos!BE18," - ")</f>
        <v>-0.20708312838170193</v>
      </c>
      <c r="J18" s="521">
        <f>IF(ISNUMBER((('Resol  Asuntos'!D18/NºAsuntos!G18)-Datos!BF18)/Datos!BF18),(('Resol  Asuntos'!D18/NºAsuntos!G18)-Datos!BF18)/Datos!BF18," - ")</f>
        <v>0.5210280373831776</v>
      </c>
      <c r="K18" s="522">
        <f>IF(ISNUMBER((((NºAsuntos!C18+NºAsuntos!E18)/NºAsuntos!G18)-Datos!BG18)/Datos!BG18),(((NºAsuntos!C18+NºAsuntos!E18)/NºAsuntos!G18)-Datos!BG18)/Datos!BG18," - ")</f>
        <v>-7.8691588785046632E-2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15.288461538461538</v>
      </c>
      <c r="C23" s="1152">
        <f>IF(ISNUMBER(
   IF(Criterios!B14="SI",(Datos!J23-Datos!T23)/Datos!T23,(Datos!J23+Datos!AD23-(Datos!T23+Datos!AL23))/(Datos!T23+Datos!AL23))
     ),IF(Criterios!B14="SI",(Datos!J23-Datos!T23)/Datos!T23,(Datos!J23+Datos!AD23-(Datos!T23+Datos!AL23))/(Datos!T23+Datos!AL23))," - ")</f>
        <v>12.612244897959183</v>
      </c>
      <c r="D23" s="1152">
        <f>IF(ISNUMBER(
   IF(Criterios!B14="SI",(Datos!K23-Datos!U23)/Datos!U23,(Datos!K23+Datos!AE23-(Datos!U23+Datos!AM23))/(Datos!U23+Datos!AM23))
     ),IF(Criterios!B14="SI",(Datos!K23-Datos!U23)/Datos!U23,(Datos!K23+Datos!AE23-(Datos!U23+Datos!AM23))/(Datos!U23+Datos!AM23))," - ")</f>
        <v>7.247311827956989</v>
      </c>
      <c r="E23" s="1152">
        <f>IF(ISNUMBER(
   IF(Criterios!B14="SI",(Datos!L23-Datos!V23)/Datos!V23,(Datos!L23+Datos!AF23-(Datos!V23+Datos!AN23))/(Datos!V23+Datos!AN23))
     ),IF(Criterios!B14="SI",(Datos!L23-Datos!V23)/Datos!V23,(Datos!L23+Datos!AF23-(Datos!V23+Datos!AN23))/(Datos!V23+Datos!AN23))," - ")</f>
        <v>23.807017543859651</v>
      </c>
      <c r="F23" s="1153">
        <f>IF(ISNUMBER((Datos!M23-Datos!W23)/Datos!W23),(Datos!M23-Datos!W23)/Datos!W23," - ")</f>
        <v>10.833333333333334</v>
      </c>
      <c r="G23" s="1154">
        <f>IF(ISNUMBER((Datos!N23-Datos!X23)/Datos!X23),(Datos!N23-Datos!X23)/Datos!X23," - ")</f>
        <v>7.375</v>
      </c>
      <c r="H23" s="1154">
        <f>IF(ISNUMBER(((NºAsuntos!G23/NºAsuntos!E23)-Datos!BD23)/Datos!BD23),((NºAsuntos!G23/NºAsuntos!E23)-Datos!BD23)/Datos!BD23," - ")</f>
        <v>-0.39412551788621825</v>
      </c>
      <c r="I23" s="1154">
        <f>IF(ISNUMBER(((NºAsuntos!I23/NºAsuntos!G23)-Datos!BE23)/Datos!BE23),((NºAsuntos!I23/NºAsuntos!G23)-Datos!BE23)/Datos!BE23," - ")</f>
        <v>2.0078913058395664</v>
      </c>
      <c r="J23" s="1154">
        <f>IF(ISNUMBER((('Resol  Asuntos'!D23/NºAsuntos!G23)-Datos!BF23)/Datos!BF23),(('Resol  Asuntos'!D23/NºAsuntos!G23)-Datos!BF23)/Datos!BF23," - ")</f>
        <v>0.43481095176010437</v>
      </c>
      <c r="K23" s="1154">
        <f>IF(ISNUMBER((((NºAsuntos!C23+NºAsuntos!E23)/NºAsuntos!G23)-Datos!BG23)/Datos!BG23),(((NºAsuntos!C23+NºAsuntos!E23)/NºAsuntos!G23)-Datos!BG23)/Datos!BG23," - ")</f>
        <v>0.76299869621903527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34.613793103448273</v>
      </c>
      <c r="C31" s="1092">
        <f>IF(ISNUMBER(
   IF(J_V="SI",(Datos!J31-Datos!T31)/Datos!T31,(Datos!J31+Datos!Z31-(Datos!T31+Datos!AH31))/(Datos!T31+Datos!AH31))
     ),IF(J_V="SI",(Datos!J31-Datos!T31)/Datos!T31,(Datos!J31+Datos!Z31-(Datos!T31+Datos!AH31))/(Datos!T31+Datos!AH31))," - ")</f>
        <v>24.859813084112151</v>
      </c>
      <c r="D31" s="1092">
        <f>IF(ISNUMBER(
   IF(J_V="SI",(Datos!K31-Datos!U31)/Datos!U31,(Datos!K31+Datos!AA31-(Datos!U31+Datos!AI31))/(Datos!U31+Datos!AI31))
     ),IF(J_V="SI",(Datos!K31-Datos!U31)/Datos!U31,(Datos!K31+Datos!AA31-(Datos!U31+Datos!AI31))/(Datos!U31+Datos!AI31))," - ")</f>
        <v>23.24</v>
      </c>
      <c r="E31" s="1092">
        <f>IF(ISNUMBER(
   IF(J_V="SI",(Datos!L31-Datos!V31)/Datos!V31,(Datos!L31+Datos!AB31-(Datos!V31+Datos!AJ31))/(Datos!V31+Datos!AJ31))
     ),IF(J_V="SI",(Datos!L31-Datos!V31)/Datos!V31,(Datos!L31+Datos!AB31-(Datos!V31+Datos!AJ31))/(Datos!V31+Datos!AJ31))," - ")</f>
        <v>35.23026315789474</v>
      </c>
      <c r="F31" s="1093">
        <f>IF(ISNUMBER((Datos!M31-Datos!W31)/Datos!W31),(Datos!M31-Datos!W31)/Datos!W31," - ")</f>
        <v>45.764705882352942</v>
      </c>
      <c r="G31" s="1094">
        <f>IF(ISNUMBER((Datos!N31-Datos!X31)/Datos!X31),(Datos!N31-Datos!X31)/Datos!X31," - ")</f>
        <v>18.38</v>
      </c>
      <c r="H31" s="1095">
        <f>IF(ISNUMBER((Tasas!B31-Datos!BD31)/Datos!BD31),(Tasas!B31-Datos!BD31)/Datos!BD31," - ")</f>
        <v>-6.2638236357065447E-2</v>
      </c>
      <c r="I31" s="1096">
        <f>IF(ISNUMBER((Tasas!C31-Datos!BE31)/Datos!BE31),(Tasas!C31-Datos!BE31)/Datos!BE31," - ")</f>
        <v>0.49464782004516228</v>
      </c>
      <c r="J31" s="1097">
        <f>IF(ISNUMBER((Tasas!D31-Datos!BF31)/Datos!BF31),(Tasas!D31-Datos!BF31)/Datos!BF31," - ")</f>
        <v>0.92923704135119389</v>
      </c>
      <c r="K31" s="1097">
        <f>IF(ISNUMBER((Tasas!E31-Datos!BG31)/Datos!BG31),(Tasas!E31-Datos!BG31)/Datos!BG31," - ")</f>
        <v>0.29835900256692327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3oUMN1xU66RtKvc3E3A1yiiSz+pAQKAD+HtG1jSipFea9QNJ8IQ700siOAH9MrFVrvZnXwzxiI33HdNXG/0UQ==" saltValue="axHkKvqJuCKNcvYp6q/Cs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TOLEDO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1.1609033168666196</v>
      </c>
      <c r="C9" s="498">
        <f>IF(ISNUMBER(NºAsuntos!I9/NºAsuntos!G9),NºAsuntos!I9/NºAsuntos!G9," - ")</f>
        <v>2.4322188449848023</v>
      </c>
      <c r="D9" s="499">
        <f>IF(ISNUMBER('Resol  Asuntos'!D9/NºAsuntos!G9),'Resol  Asuntos'!D9/NºAsuntos!G9," - ")</f>
        <v>0.39392097264437692</v>
      </c>
      <c r="E9" s="500">
        <f>IF(ISNUMBER((NºAsuntos!C9+NºAsuntos!E9)/NºAsuntos!G9),(NºAsuntos!C9+NºAsuntos!E9)/NºAsuntos!G9," - ")</f>
        <v>3.4322188449848023</v>
      </c>
      <c r="G9" s="523"/>
    </row>
    <row r="10" spans="1:7">
      <c r="A10" s="450" t="str">
        <f>Datos!A10</f>
        <v>Jdos. Violencia contra la mujer</v>
      </c>
      <c r="B10" s="497">
        <f>IF(ISNUMBER(NºAsuntos!G10/NºAsuntos!E10),NºAsuntos!G10/NºAsuntos!E10," - ")</f>
        <v>0.75</v>
      </c>
      <c r="C10" s="498">
        <f>IF(ISNUMBER(NºAsuntos!I10/NºAsuntos!G10),NºAsuntos!I10/NºAsuntos!G10," - ")</f>
        <v>7.666666666666667</v>
      </c>
      <c r="D10" s="499">
        <f>IF(ISNUMBER('Resol  Asuntos'!D10/NºAsuntos!G10),'Resol  Asuntos'!D10/NºAsuntos!G10," - ")</f>
        <v>0.41666666666666669</v>
      </c>
      <c r="E10" s="500">
        <f>IF(ISNUMBER((NºAsuntos!C10+NºAsuntos!E10)/NºAsuntos!G10),(NºAsuntos!C10+NºAsuntos!E10)/NºAsuntos!G10," - ")</f>
        <v>8.6666666666666661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1.1563154221912073</v>
      </c>
      <c r="C14" s="1156">
        <f>IF(ISNUMBER(NºAsuntos!I14/NºAsuntos!G14),NºAsuntos!I14/NºAsuntos!G14," - ")</f>
        <v>2.4701267350633676</v>
      </c>
      <c r="D14" s="1157">
        <f>IF(ISNUMBER('Resol  Asuntos'!D14/NºAsuntos!G14),'Resol  Asuntos'!D14/NºAsuntos!G14," - ")</f>
        <v>0.39408569704284852</v>
      </c>
      <c r="E14" s="1158">
        <f>IF(ISNUMBER((NºAsuntos!C14+NºAsuntos!E14)/NºAsuntos!G14),(NºAsuntos!C14+NºAsuntos!E14)/NºAsuntos!G14," - ")</f>
        <v>3.4701267350633676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0.53965658217497958</v>
      </c>
      <c r="C16" s="498">
        <f>IF(ISNUMBER(NºAsuntos!I16/NºAsuntos!G16),NºAsuntos!I16/NºAsuntos!G16," - ")</f>
        <v>2.0636363636363635</v>
      </c>
      <c r="D16" s="499">
        <f>IF(ISNUMBER('Resol  Asuntos'!D16/NºAsuntos!G16),'Resol  Asuntos'!D16/NºAsuntos!G16," - ")</f>
        <v>0.18333333333333332</v>
      </c>
      <c r="E16" s="500">
        <f>IF(ISNUMBER((NºAsuntos!C16+NºAsuntos!E16)/NºAsuntos!G16),(NºAsuntos!C16+NºAsuntos!E16)/NºAsuntos!G16," - ")</f>
        <v>3.0636363636363635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0.963963963963964</v>
      </c>
      <c r="C18" s="498">
        <f>IF(ISNUMBER(NºAsuntos!I18/NºAsuntos!G18),NºAsuntos!I18/NºAsuntos!G18," - ")</f>
        <v>0.48598130841121495</v>
      </c>
      <c r="D18" s="499">
        <f>IF(ISNUMBER('Resol  Asuntos'!D18/NºAsuntos!G18),'Resol  Asuntos'!D18/NºAsuntos!G18," - ")</f>
        <v>0.19626168224299065</v>
      </c>
      <c r="E18" s="500">
        <f>IF(ISNUMBER((NºAsuntos!C18+NºAsuntos!E18)/NºAsuntos!G18),(NºAsuntos!C18+NºAsuntos!E18)/NºAsuntos!G18," - ")</f>
        <v>1.485981308411215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0.57496251874062965</v>
      </c>
      <c r="C23" s="1156">
        <f>IF(ISNUMBER(NºAsuntos!I23/NºAsuntos!G23),NºAsuntos!I23/NºAsuntos!G23," - ")</f>
        <v>1.8435462842242503</v>
      </c>
      <c r="D23" s="1159">
        <f>IF(ISNUMBER('Resol  Asuntos'!D23/NºAsuntos!G23),'Resol  Asuntos'!D23/NºAsuntos!G23," - ")</f>
        <v>0.18513689700130379</v>
      </c>
      <c r="E23" s="1158">
        <f>IF(ISNUMBER((NºAsuntos!C23+NºAsuntos!E23)/NºAsuntos!G23),(NºAsuntos!C23+NºAsuntos!E23)/NºAsuntos!G23," - ")</f>
        <v>2.8435462842242503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0.87603903144199491</v>
      </c>
      <c r="C31" s="1099">
        <f>IF(ISNUMBER(NºAsuntos!I31/NºAsuntos!G31),NºAsuntos!I31/NºAsuntos!G31," - ")</f>
        <v>2.2718646864686467</v>
      </c>
      <c r="D31" s="1100">
        <f>IF(ISNUMBER('Resol  Asuntos'!D31/NºAsuntos!G31),'Resol  Asuntos'!D31/NºAsuntos!G31," - ")</f>
        <v>0.32797029702970298</v>
      </c>
      <c r="E31" s="1101">
        <f>IF(ISNUMBER((NºAsuntos!C31+NºAsuntos!E31)/NºAsuntos!G31),(NºAsuntos!C31+NºAsuntos!E31)/NºAsuntos!G31," - ")</f>
        <v>3.2718646864686467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pES2rq6d+gEyW6HbKORTLV2vM1gFKf+jByxnB9XXT2fndN1TomdZ7uETQaiSOB7xlT4p6jdghTZKhRLP+j0ww==" saltValue="pvirThndcwQUUjrWyiHz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TOLEDO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340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198</v>
      </c>
      <c r="Y9" s="374">
        <f>SUM(W9:X9)</f>
        <v>198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5539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648</v>
      </c>
      <c r="AJ9" s="243" t="str">
        <f>IF(ISNUMBER(Datos!BW9),Datos!BW9," - ")</f>
        <v xml:space="preserve"> - </v>
      </c>
      <c r="AK9" s="242" t="str">
        <f>IF(ISNUMBER(Datos!BX9),Datos!BX9," - ")</f>
        <v xml:space="preserve"> - </v>
      </c>
      <c r="AL9" s="266">
        <f>IF(ISNUMBER(NºAsuntos!G9/NºAsuntos!E9),NºAsuntos!G9/NºAsuntos!E9," - ")</f>
        <v>1.1609033168666196</v>
      </c>
      <c r="AM9" s="284">
        <f>IF(ISNUMBER(((NºAsuntos!I9/NºAsuntos!G9)*11)/factor_trimestre),((NºAsuntos!I9/NºAsuntos!G9)*11)/factor_trimestre," - ")</f>
        <v>7.2966565349544075</v>
      </c>
      <c r="AN9" s="267">
        <f>IF(ISNUMBER('Resol  Asuntos'!D9/NºAsuntos!G9),'Resol  Asuntos'!D9/NºAsuntos!G9," - ")</f>
        <v>0.39392097264437692</v>
      </c>
      <c r="AO9" s="268">
        <f>IF(ISNUMBER((NºAsuntos!C9+NºAsuntos!E9)/NºAsuntos!G9),(NºAsuntos!C9+NºAsuntos!E9)/NºAsuntos!G9," - ")</f>
        <v>3.4322188449848023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88</v>
      </c>
      <c r="G10" s="373">
        <f>IF(ISNUMBER(Datos!I10),Datos!I10," - ")</f>
        <v>88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6</v>
      </c>
      <c r="Y10" s="374">
        <f t="shared" ref="Y10:Y13" si="0">SUM(W10:X10)</f>
        <v>18</v>
      </c>
      <c r="Z10" s="375" t="str">
        <f>IF(ISNUMBER(Datos!CC10),Datos!CC10," - ")</f>
        <v xml:space="preserve"> - </v>
      </c>
      <c r="AA10" s="372">
        <f>IF(ISNUMBER(Datos!L10),Datos!L10,"-")</f>
        <v>92</v>
      </c>
      <c r="AB10" s="374">
        <f>IF(ISNUMBER(Datos!R10),Datos!R10," - ")</f>
        <v>20</v>
      </c>
      <c r="AC10" s="374">
        <f t="shared" ref="AC10:AC13" si="1">IF(ISNUMBER(AA10+AB10),AA10+AB10," - ")</f>
        <v>112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23.000000000000004</v>
      </c>
      <c r="AN10" s="267">
        <f>IF(ISNUMBER('Resol  Asuntos'!D10/NºAsuntos!G10),'Resol  Asuntos'!D10/NºAsuntos!G10," - ")</f>
        <v>0.41666666666666669</v>
      </c>
      <c r="AO10" s="268">
        <f>IF(ISNUMBER((NºAsuntos!C10+NºAsuntos!E10)/NºAsuntos!G10),(NºAsuntos!C10+NºAsuntos!E10)/NºAsuntos!G10," - ")</f>
        <v>8.6666666666666661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88</v>
      </c>
      <c r="G14" s="1163">
        <f t="shared" si="5"/>
        <v>88</v>
      </c>
      <c r="H14" s="1162">
        <f t="shared" si="5"/>
        <v>0</v>
      </c>
      <c r="I14" s="1164">
        <f t="shared" si="5"/>
        <v>0</v>
      </c>
      <c r="J14" s="1164">
        <f t="shared" si="5"/>
        <v>0</v>
      </c>
      <c r="K14" s="1164">
        <f t="shared" si="5"/>
        <v>0</v>
      </c>
      <c r="L14" s="1164">
        <f t="shared" si="5"/>
        <v>344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204</v>
      </c>
      <c r="Y14" s="1165">
        <f t="shared" si="6"/>
        <v>216</v>
      </c>
      <c r="Z14" s="1165">
        <f t="shared" si="6"/>
        <v>0</v>
      </c>
      <c r="AA14" s="1165">
        <f t="shared" si="6"/>
        <v>92</v>
      </c>
      <c r="AB14" s="1165">
        <f t="shared" si="6"/>
        <v>5559</v>
      </c>
      <c r="AC14" s="1165">
        <f t="shared" si="6"/>
        <v>112</v>
      </c>
      <c r="AD14" s="1165">
        <f t="shared" si="6"/>
        <v>0</v>
      </c>
      <c r="AE14" s="1169">
        <f t="shared" si="6"/>
        <v>0</v>
      </c>
      <c r="AF14" s="1162">
        <f t="shared" si="6"/>
        <v>0</v>
      </c>
      <c r="AG14" s="1170">
        <f t="shared" si="6"/>
        <v>0</v>
      </c>
      <c r="AH14" s="1167">
        <f t="shared" si="6"/>
        <v>0</v>
      </c>
      <c r="AI14" s="1162">
        <f t="shared" si="6"/>
        <v>653</v>
      </c>
      <c r="AJ14" s="1164">
        <f t="shared" si="6"/>
        <v>0</v>
      </c>
      <c r="AK14" s="1167">
        <f>SUBTOTAL(9,AK9:AK13)</f>
        <v>0</v>
      </c>
      <c r="AL14" s="1171">
        <f>IF(ISNUMBER(NºAsuntos!G14/NºAsuntos!E14),NºAsuntos!G14/NºAsuntos!E14," - ")</f>
        <v>1.1563154221912073</v>
      </c>
      <c r="AM14" s="1171">
        <f>IF(ISNUMBER(((NºAsuntos!I14/NºAsuntos!G14)*11)/factor_trimestre),((NºAsuntos!I14/NºAsuntos!G14)*11)/factor_trimestre," - ")</f>
        <v>7.4103802051901022</v>
      </c>
      <c r="AN14" s="1172">
        <f>IF(ISNUMBER('Resol  Asuntos'!D14/NºAsuntos!G14),'Resol  Asuntos'!D14/NºAsuntos!G14," - ")</f>
        <v>0.39408569704284852</v>
      </c>
      <c r="AO14" s="1173">
        <f>IF(ISNUMBER((NºAsuntos!C14+NºAsuntos!E14)/NºAsuntos!G14),(NºAsuntos!C14+NºAsuntos!E14)/NºAsuntos!G14," - ")</f>
        <v>3.4701267350633676</v>
      </c>
      <c r="AP14" s="1174" t="str">
        <f t="shared" si="2"/>
        <v xml:space="preserve"> - </v>
      </c>
      <c r="AQ14" s="1174">
        <f>IF(ISNUMBER((H14-W14+K14)/(F14)),(H14-W14+K14)/(F14)," - ")</f>
        <v>-0.13636363636363635</v>
      </c>
      <c r="AR14" s="1175">
        <f>IF(ISNUMBER((Datos!P14-Datos!Q14)/(Datos!R14-Datos!P14+Datos!Q14)),(Datos!P14-Datos!Q14)/(Datos!R14-Datos!P14+Datos!Q14)," - ")</f>
        <v>2.5835024912345451E-2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799</v>
      </c>
      <c r="G16" s="373">
        <f>IF(ISNUMBER(IF(D_I="SI",Datos!I16,Datos!I16+Datos!AC16)),IF(D_I="SI",Datos!I16,Datos!I16+Datos!AC16)," - ")</f>
        <v>799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660</v>
      </c>
      <c r="X16" s="240">
        <f>IF(ISNUMBER(Datos!Q16),Datos!Q16," - ")</f>
        <v>4</v>
      </c>
      <c r="Y16" s="374">
        <f>SUM(W16)</f>
        <v>660</v>
      </c>
      <c r="Z16" s="375" t="str">
        <f>IF(ISNUMBER(Datos!CC16),Datos!CC16," - ")</f>
        <v xml:space="preserve"> - </v>
      </c>
      <c r="AA16" s="372">
        <f>IF(ISNUMBER(IF(D_I="SI",Datos!L16,Datos!L16+Datos!AF16)),IF(D_I="SI",Datos!L16,Datos!L16+Datos!AF16)," - ")</f>
        <v>1362</v>
      </c>
      <c r="AB16" s="374">
        <f>IF(ISNUMBER(Datos!R16),Datos!R16," - ")</f>
        <v>85</v>
      </c>
      <c r="AC16" s="374">
        <f t="shared" ref="AC16:AC22" si="8">IF(ISNUMBER(AA16+AB16),AA16+AB16," - ")</f>
        <v>1447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121</v>
      </c>
      <c r="AJ16" s="245" t="str">
        <f>IF(ISNUMBER(Datos!BW16),Datos!BW16," - ")</f>
        <v xml:space="preserve"> - </v>
      </c>
      <c r="AK16" s="246" t="str">
        <f>IF(ISNUMBER(Datos!BX16),Datos!BX16," - ")</f>
        <v xml:space="preserve"> - </v>
      </c>
      <c r="AL16" s="266">
        <f>IF(ISNUMBER(NºAsuntos!G16/NºAsuntos!E16),NºAsuntos!G16/NºAsuntos!E16," - ")</f>
        <v>0.53965658217497958</v>
      </c>
      <c r="AM16" s="284">
        <f>IF(ISNUMBER(((NºAsuntos!I16/NºAsuntos!G16)*11)/factor_trimestre),((NºAsuntos!I16/NºAsuntos!G16)*11)/factor_trimestre," - ")</f>
        <v>6.1909090909090914</v>
      </c>
      <c r="AN16" s="267">
        <f>IF(ISNUMBER('Resol  Asuntos'!D16/NºAsuntos!G16),'Resol  Asuntos'!D16/NºAsuntos!G16," - ")</f>
        <v>0.18333333333333332</v>
      </c>
      <c r="AO16" s="268">
        <f>IF(ISNUMBER((NºAsuntos!C16+NºAsuntos!E16)/NºAsuntos!G16),(NºAsuntos!C16+NºAsuntos!E16)/NºAsuntos!G16," - ")</f>
        <v>3.0636363636363635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107</v>
      </c>
      <c r="X18" s="240">
        <f>IF(ISNUMBER(Datos!Q18),Datos!Q18," - ")</f>
        <v>1</v>
      </c>
      <c r="Y18" s="374">
        <f t="shared" si="9"/>
        <v>108</v>
      </c>
      <c r="Z18" s="375" t="str">
        <f>IF(ISNUMBER(Datos!CC18),Datos!CC18," - ")</f>
        <v xml:space="preserve"> - </v>
      </c>
      <c r="AA18" s="372">
        <f>IF(ISNUMBER(Datos!L18),Datos!L18,"-")</f>
        <v>52</v>
      </c>
      <c r="AB18" s="374">
        <f>IF(ISNUMBER(Datos!R18),Datos!R18," - ")</f>
        <v>4</v>
      </c>
      <c r="AC18" s="374">
        <f t="shared" si="8"/>
        <v>56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0.963963963963964</v>
      </c>
      <c r="AM18" s="284">
        <f>IF(ISNUMBER(((NºAsuntos!I18/NºAsuntos!G18)*11)/factor_trimestre),((NºAsuntos!I18/NºAsuntos!G18)*11)/factor_trimestre," - ")</f>
        <v>1.457943925233645</v>
      </c>
      <c r="AN18" s="267">
        <f>IF(ISNUMBER('Resol  Asuntos'!D18/NºAsuntos!G18),'Resol  Asuntos'!D18/NºAsuntos!G18," - ")</f>
        <v>0.19626168224299065</v>
      </c>
      <c r="AO18" s="268">
        <f>IF(ISNUMBER((NºAsuntos!C18+NºAsuntos!E18)/NºAsuntos!G18),(NºAsuntos!C18+NºAsuntos!E18)/NºAsuntos!G18," - ")</f>
        <v>1.485981308411215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799</v>
      </c>
      <c r="G23" s="1163">
        <f>SUBTOTAL(9,G16:G22)</f>
        <v>847</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767</v>
      </c>
      <c r="X23" s="1164">
        <f t="shared" si="14"/>
        <v>5</v>
      </c>
      <c r="Y23" s="1165">
        <f t="shared" si="14"/>
        <v>768</v>
      </c>
      <c r="Z23" s="1165">
        <f t="shared" si="14"/>
        <v>0</v>
      </c>
      <c r="AA23" s="1165">
        <f t="shared" si="14"/>
        <v>1414</v>
      </c>
      <c r="AB23" s="1165">
        <f t="shared" si="14"/>
        <v>89</v>
      </c>
      <c r="AC23" s="1165">
        <f t="shared" si="14"/>
        <v>1503</v>
      </c>
      <c r="AD23" s="1165">
        <f t="shared" si="14"/>
        <v>0</v>
      </c>
      <c r="AE23" s="1169">
        <f t="shared" si="14"/>
        <v>0</v>
      </c>
      <c r="AF23" s="1162">
        <f t="shared" si="14"/>
        <v>0</v>
      </c>
      <c r="AG23" s="1170">
        <f t="shared" si="14"/>
        <v>0</v>
      </c>
      <c r="AH23" s="1167">
        <f t="shared" si="14"/>
        <v>0</v>
      </c>
      <c r="AI23" s="1162">
        <f t="shared" si="14"/>
        <v>142</v>
      </c>
      <c r="AJ23" s="1164">
        <f t="shared" si="14"/>
        <v>0</v>
      </c>
      <c r="AK23" s="1167">
        <f t="shared" si="14"/>
        <v>0</v>
      </c>
      <c r="AL23" s="1171">
        <f>IF(ISNUMBER(NºAsuntos!G23/NºAsuntos!E23),NºAsuntos!G23/NºAsuntos!E23," - ")</f>
        <v>0.57496251874062965</v>
      </c>
      <c r="AM23" s="1171">
        <f>IF(ISNUMBER(((NºAsuntos!I23/NºAsuntos!G23)*11)/factor_trimestre),((NºAsuntos!I23/NºAsuntos!G23)*11)/factor_trimestre," - ")</f>
        <v>5.5306388526727517</v>
      </c>
      <c r="AN23" s="1172">
        <f>IF(ISNUMBER('Resol  Asuntos'!D23/NºAsuntos!G23),'Resol  Asuntos'!D23/NºAsuntos!G23," - ")</f>
        <v>0.18513689700130379</v>
      </c>
      <c r="AO23" s="1173">
        <f>IF(ISNUMBER((NºAsuntos!C23+NºAsuntos!E23)/NºAsuntos!G23),(NºAsuntos!C23+NºAsuntos!E23)/NºAsuntos!G23," - ")</f>
        <v>2.8435462842242503</v>
      </c>
      <c r="AP23" s="1174" t="str">
        <f t="shared" si="2"/>
        <v xml:space="preserve"> - </v>
      </c>
      <c r="AQ23" s="1174">
        <f>IF(ISNUMBER((H23-W23+K23)/(F23)),(H23-W23+K23)/(F23)," - ")</f>
        <v>-0.95994993742177726</v>
      </c>
      <c r="AR23" s="1175">
        <f>IF(ISNUMBER((Datos!P23-Datos!Q23)/(Datos!R23-Datos!P23+Datos!Q23)),(Datos!P23-Datos!Q23)/(Datos!R23-Datos!P23+Datos!Q23)," - ")</f>
        <v>9.8765432098765427E-2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887</v>
      </c>
      <c r="G31" s="1118">
        <f t="shared" si="20"/>
        <v>935</v>
      </c>
      <c r="H31" s="1117">
        <f t="shared" si="20"/>
        <v>0</v>
      </c>
      <c r="I31" s="1119">
        <f t="shared" si="20"/>
        <v>0</v>
      </c>
      <c r="J31" s="1119">
        <f t="shared" si="20"/>
        <v>0</v>
      </c>
      <c r="K31" s="1180">
        <f t="shared" si="20"/>
        <v>0</v>
      </c>
      <c r="L31" s="1119">
        <f t="shared" si="20"/>
        <v>357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779</v>
      </c>
      <c r="X31" s="1118">
        <f t="shared" si="21"/>
        <v>209</v>
      </c>
      <c r="Y31" s="1125">
        <f t="shared" si="21"/>
        <v>984</v>
      </c>
      <c r="Z31" s="1125">
        <f t="shared" si="21"/>
        <v>0</v>
      </c>
      <c r="AA31" s="1125">
        <f t="shared" si="21"/>
        <v>1506</v>
      </c>
      <c r="AB31" s="1125">
        <f t="shared" si="21"/>
        <v>5648</v>
      </c>
      <c r="AC31" s="1125">
        <f t="shared" si="21"/>
        <v>1615</v>
      </c>
      <c r="AD31" s="1125">
        <f t="shared" si="21"/>
        <v>0</v>
      </c>
      <c r="AE31" s="1127">
        <f t="shared" si="21"/>
        <v>0</v>
      </c>
      <c r="AF31" s="1128">
        <f t="shared" si="21"/>
        <v>0</v>
      </c>
      <c r="AG31" s="1129">
        <f t="shared" si="21"/>
        <v>0</v>
      </c>
      <c r="AH31" s="1127">
        <f t="shared" si="21"/>
        <v>0</v>
      </c>
      <c r="AI31" s="1117">
        <f t="shared" si="21"/>
        <v>795</v>
      </c>
      <c r="AJ31" s="1117">
        <f t="shared" si="21"/>
        <v>0</v>
      </c>
      <c r="AK31" s="1127">
        <f t="shared" si="21"/>
        <v>0</v>
      </c>
      <c r="AL31" s="1183">
        <f>IF(ISNUMBER(NºAsuntos!G31/NºAsuntos!E31),NºAsuntos!G31/NºAsuntos!E31," - ")</f>
        <v>0.87603903144199491</v>
      </c>
      <c r="AM31" s="1184">
        <f>IF(ISNUMBER(((NºAsuntos!I31/NºAsuntos!G31)*11)/factor_trimestre),((NºAsuntos!I31/NºAsuntos!G31)*11)/factor_trimestre," - ")</f>
        <v>6.8155940594059397</v>
      </c>
      <c r="AN31" s="1184">
        <f>IF(ISNUMBER('Resol  Asuntos'!D31/NºAsuntos!G31),'Resol  Asuntos'!D31/NºAsuntos!G31," - ")</f>
        <v>0.32797029702970298</v>
      </c>
      <c r="AO31" s="1185">
        <f>IF(ISNUMBER((NºAsuntos!C31+NºAsuntos!E31)/NºAsuntos!G31),(NºAsuntos!C31+NºAsuntos!E31)/NºAsuntos!G31," - ")</f>
        <v>3.2718646864686467</v>
      </c>
      <c r="AP31" s="1186" t="str">
        <f t="shared" si="2"/>
        <v xml:space="preserve"> - </v>
      </c>
      <c r="AQ31" s="1187">
        <f>IF(OR(ISNUMBER(FIND("01",Criterios!A8,1)),ISNUMBER(FIND("02",Criterios!A8,1)),ISNUMBER(FIND("03",Criterios!A8,1)),ISNUMBER(FIND("04",Criterios!A8,1))),(I31-W31+K31)/(F31-K31),(H31-W31+K31)/(F31-K31))</f>
        <v>-0.8782412626832018</v>
      </c>
      <c r="AR31" s="1188">
        <f>IF(ISNUMBER((Datos!P31-Datos!Q31)/(Datos!R31-Datos!P31+Datos!Q31)),(Datos!P31-Datos!Q31)/(Datos!R31-Datos!P31+Datos!Q31)," - ")</f>
        <v>2.690909090909091E-2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267.14285714285717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1.7404711333664431</v>
      </c>
      <c r="F33" s="276">
        <f>IF(ISNUMBER(STDEV(F8:F30)),STDEV(F8:F30),"-")</f>
        <v>391.86154017288641</v>
      </c>
      <c r="G33" s="277">
        <f>IF(ISNUMBER(STDEV(G8:G30)),STDEV(G8:G30),"-")</f>
        <v>381.67282174284151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338.83617336546638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284.246246362953</v>
      </c>
      <c r="AJ33" s="276">
        <f t="shared" si="25"/>
        <v>0</v>
      </c>
      <c r="AK33" s="278">
        <f t="shared" si="25"/>
        <v>0</v>
      </c>
      <c r="AL33" s="273">
        <f t="shared" si="25"/>
        <v>0.27752002243828022</v>
      </c>
      <c r="AM33" s="274">
        <f t="shared" si="25"/>
        <v>7.4380470695275278</v>
      </c>
      <c r="AN33" s="274">
        <f t="shared" si="25"/>
        <v>0.11721318547738538</v>
      </c>
      <c r="AO33" s="275">
        <f t="shared" si="25"/>
        <v>2.4793490231758417</v>
      </c>
      <c r="AP33" s="317" t="str">
        <f t="shared" si="25"/>
        <v>-</v>
      </c>
      <c r="AQ33" s="318">
        <f t="shared" si="25"/>
        <v>0.58236345837055681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XMNpVydtwadbOWMNOc5ezDhEnIgMCHJ7sLyhxYDaLklHVSh7TqyQv9lhj3NFOtBUiJokg9g1JugxD3opdJzBA==" saltValue="ZOp16WXfZDJpFXbKK4TR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TOLEDO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-5.3763440860215055E-2</v>
      </c>
      <c r="E10" s="393">
        <f>IF(ISNUMBER((Datos!J10-Datos!T10)/Datos!T10),(Datos!J10-Datos!T10)/Datos!T10," - ")</f>
        <v>0.77777777777777779</v>
      </c>
      <c r="F10" s="393">
        <f>IF(ISNUMBER((Datos!K10-Datos!U10)/Datos!U10),(Datos!K10-Datos!U10)/Datos!U10," - ")</f>
        <v>0.7142857142857143</v>
      </c>
      <c r="G10" s="394">
        <f>IF(ISNUMBER((Datos!L10-Datos!V10)/Datos!V10),(Datos!L10-Datos!V10)/Datos!V10," - ")</f>
        <v>-3.1578947368421054E-2</v>
      </c>
      <c r="H10" s="244">
        <f>IF(ISNUMBER((Datos!M10-Datos!W10)/Datos!W10),(Datos!M10-Datos!W10)/Datos!W10," - ")</f>
        <v>0</v>
      </c>
      <c r="I10" s="395">
        <f>IF(ISNUMBER((Tasas!C10-Datos!BE10)/Datos!BE10),(Tasas!C10-Datos!BE10)/Datos!BE10," - ")</f>
        <v>-0.43508771929824558</v>
      </c>
      <c r="J10" s="394">
        <f>IF(ISNUMBER((Tasas!D10-Datos!BF10)/Datos!BF10),(Tasas!D10-Datos!BF10)/Datos!BF10," - ")</f>
        <v>-0.41666666666666663</v>
      </c>
      <c r="K10" s="396">
        <f>IF(ISNUMBER((Tasas!E10-Datos!BG10)/Datos!BG10),(Tasas!E10-Datos!BG10)/Datos!BG10," - ")</f>
        <v>-0.40522875816993464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129.6</v>
      </c>
      <c r="I14" s="402">
        <f>IF(ISNUMBER((Tasas!C14-Datos!BE14)/Datos!BE14),(Tasas!C14-Datos!BE14)/Datos!BE14," - ")</f>
        <v>-0.81799066162690981</v>
      </c>
      <c r="J14" s="400">
        <f>IF(ISNUMBER((Tasas!D14-Datos!BF14)/Datos!BF14),(Tasas!D14-Datos!BF14)/Datos!BF14," - ")</f>
        <v>-0.44828002414001211</v>
      </c>
      <c r="K14" s="403">
        <f>IF(ISNUMBER((Tasas!E14-Datos!BG14)/Datos!BG14),(Tasas!E14-Datos!BG14)/Datos!BG14," - ")</f>
        <v>-0.76185404759369046</v>
      </c>
      <c r="M14" t="e">
        <f>IF(Monitorios="SI",Datos!CE14,0)</f>
        <v>#REF!</v>
      </c>
      <c r="N14" t="e">
        <f>IF(Monitorios="SI",Datos!CF14,0)</f>
        <v>#REF!</v>
      </c>
      <c r="O14" t="e">
        <f>IF(Monitorios="SI",Datos!CG14,0)</f>
        <v>#REF!</v>
      </c>
      <c r="P14" t="e">
        <f>IF(Monitorios="SI",Datos!CH14,0)</f>
        <v>#REF!</v>
      </c>
      <c r="Q14">
        <f>IF(J_V="SI",0,Datos!AG14)</f>
        <v>0</v>
      </c>
      <c r="R14">
        <f>IF(J_V="SI",0,Datos!AH14)</f>
        <v>0</v>
      </c>
      <c r="S14">
        <f>IF(J_V="SI",0,Datos!AI14)</f>
        <v>0</v>
      </c>
      <c r="T14">
        <f>IF(J_V="SI",0,Datos!AJ14)</f>
        <v>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-7.6923076923076927E-2</v>
      </c>
      <c r="E18" s="393">
        <f>IF(ISNUMBER(
   IF(D_I="SI",(Datos!J18-Datos!T18)/Datos!T18,(Datos!J18+Datos!AD18-(Datos!T18+Datos!AL18))/(Datos!T18+Datos!AL18))
     ),IF(D_I="SI",(Datos!J18-Datos!T18)/Datos!T18,(Datos!J18+Datos!AD18-(Datos!T18+Datos!AL18))/(Datos!T18+Datos!AL18))," - ")</f>
        <v>0.1326530612244898</v>
      </c>
      <c r="F18" s="393">
        <f>IF(ISNUMBER(
   IF(D_I="SI",(Datos!K18-Datos!U18)/Datos!U18,(Datos!K18+Datos!AE18-(Datos!U18+Datos!AM18))/(Datos!U18+Datos!AM18))
     ),IF(D_I="SI",(Datos!K18-Datos!U18)/Datos!U18,(Datos!K18+Datos!AE18-(Datos!U18+Datos!AM18))/(Datos!U18+Datos!AM18))," - ")</f>
        <v>0.15053763440860216</v>
      </c>
      <c r="G18" s="394">
        <f>IF(ISNUMBER(
   IF(D_I="SI",(Datos!L18-Datos!V18)/Datos!V18,(Datos!L18+Datos!AF18-(Datos!V18+Datos!AN18))/(Datos!V18+Datos!AN18))
     ),IF(D_I="SI",(Datos!L18-Datos!V18)/Datos!V18,(Datos!L18+Datos!AF18-(Datos!V18+Datos!AN18))/(Datos!V18+Datos!AN18))," - ")</f>
        <v>-8.771929824561403E-2</v>
      </c>
      <c r="H18" s="244">
        <f>IF(ISNUMBER((Datos!M18-Datos!W18)/Datos!W18),(Datos!M18-Datos!W18)/Datos!W18," - ")</f>
        <v>0.75</v>
      </c>
      <c r="I18" s="395">
        <f>IF(ISNUMBER((Tasas!C18-Datos!BE18)/Datos!BE18),(Tasas!C18-Datos!BE18)/Datos!BE18," - ")</f>
        <v>-0.20708312838170193</v>
      </c>
      <c r="J18" s="394">
        <f>IF(ISNUMBER((Tasas!D18-Datos!BF18)/Datos!BF18),(Tasas!D18-Datos!BF18)/Datos!BF18," - ")</f>
        <v>0.5210280373831776</v>
      </c>
      <c r="K18" s="396">
        <f>IF(ISNUMBER((Tasas!E18-Datos!BG18)/Datos!BG18),(Tasas!E18-Datos!BG18)/Datos!BG18," - ")</f>
        <v>-7.8691588785046632E-2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15.288461538461538</v>
      </c>
      <c r="E23" s="399">
        <f>IF(ISNUMBER(
   IF(D_I="SI",(Datos!J23-Datos!T23)/Datos!T23,(Datos!J23+Datos!AD23-(Datos!T23+Datos!AL23))/(Datos!T23+Datos!AL23))
     ),IF(D_I="SI",(Datos!J23-Datos!T23)/Datos!T23,(Datos!J23+Datos!AD23-(Datos!T23+Datos!AL23))/(Datos!T23+Datos!AL23))," - ")</f>
        <v>12.612244897959183</v>
      </c>
      <c r="F23" s="399">
        <f>IF(ISNUMBER(
   IF(D_I="SI",(Datos!K23-Datos!U23)/Datos!U23,(Datos!K23+Datos!AE23-(Datos!U23+Datos!AM23))/(Datos!U23+Datos!AM23))
     ),IF(D_I="SI",(Datos!K23-Datos!U23)/Datos!U23,(Datos!K23+Datos!AE23-(Datos!U23+Datos!AM23))/(Datos!U23+Datos!AM23))," - ")</f>
        <v>7.247311827956989</v>
      </c>
      <c r="G23" s="400">
        <f>IF(ISNUMBER(
   IF(D_I="SI",(Datos!L23-Datos!V23)/Datos!V23,(Datos!L23+Datos!AF23-(Datos!V23+Datos!AN23))/(Datos!V23+Datos!AN23))
     ),IF(D_I="SI",(Datos!L23-Datos!V23)/Datos!V23,(Datos!L23+Datos!AF23-(Datos!V23+Datos!AN23))/(Datos!V23+Datos!AN23))," - ")</f>
        <v>23.807017543859651</v>
      </c>
      <c r="H23" s="401">
        <f>IF(ISNUMBER((Datos!M23-Datos!W23)/Datos!W23),(Datos!M23-Datos!W23)/Datos!W23," - ")</f>
        <v>10.833333333333334</v>
      </c>
      <c r="I23" s="402">
        <f>IF(ISNUMBER((Tasas!C23-Datos!BE23)/Datos!BE23),(Tasas!C23-Datos!BE23)/Datos!BE23," - ")</f>
        <v>2.0078913058395664</v>
      </c>
      <c r="J23" s="400">
        <f>IF(ISNUMBER((Tasas!D23-Datos!BF23)/Datos!BF23),(Tasas!D23-Datos!BF23)/Datos!BF23," - ")</f>
        <v>0.43481095176010437</v>
      </c>
      <c r="K23" s="403">
        <f>IF(ISNUMBER((Tasas!E23-Datos!BG23)/Datos!BG23),(Tasas!E23-Datos!BG23)/Datos!BG23," - ")</f>
        <v>0.76299869621903527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34.613793103448273</v>
      </c>
      <c r="E31" s="409">
        <f>IF(ISNUMBER(
   IF(J_V="SI",(Datos!J31-Datos!T31)/Datos!T31,(Datos!J31+Datos!Z31-(Datos!T31+Datos!AH31))/(Datos!T31+Datos!AH31))
     ),IF(J_V="SI",(Datos!J31-Datos!T31)/Datos!T31,(Datos!J31+Datos!Z31-(Datos!T31+Datos!AH31))/(Datos!T31+Datos!AH31))," - ")</f>
        <v>24.859813084112151</v>
      </c>
      <c r="F31" s="409">
        <f>IF(ISNUMBER(
   IF(J_V="SI",(Datos!K31-Datos!U31)/Datos!U31,(Datos!K31+Datos!AA31-(Datos!U31+Datos!AI31))/(Datos!U31+Datos!AI31))
     ),IF(J_V="SI",(Datos!K31-Datos!U31)/Datos!U31,(Datos!K31+Datos!AA31-(Datos!U31+Datos!AI31))/(Datos!U31+Datos!AI31))," - ")</f>
        <v>23.24</v>
      </c>
      <c r="G31" s="410">
        <f>IF(ISNUMBER(
   IF(J_V="SI",(Datos!L31-Datos!V31)/Datos!V31,(Datos!L31+Datos!AB31-(Datos!V31+Datos!AJ31))/(Datos!V31+Datos!AJ31))
     ),IF(J_V="SI",(Datos!L31-Datos!V31)/Datos!V31,(Datos!L31+Datos!AB31-(Datos!V31+Datos!AJ31))/(Datos!V31+Datos!AJ31))," - ")</f>
        <v>35.23026315789474</v>
      </c>
      <c r="H31" s="411">
        <f>IF(ISNUMBER((Datos!M31-Datos!W31)/Datos!W31),(Datos!M31-Datos!W31)/Datos!W31," - ")</f>
        <v>45.764705882352942</v>
      </c>
      <c r="I31" s="408">
        <f>IF(ISNUMBER((Tasas!C31-Datos!BE31)/Datos!BE31),(Tasas!C31-Datos!BE31)/Datos!BE31," - ")</f>
        <v>0.49464782004516228</v>
      </c>
      <c r="J31" s="409">
        <f>IF(ISNUMBER((Tasas!D31-Datos!BF31)/Datos!BF31),(Tasas!D31-Datos!BF31)/Datos!BF31," - ")</f>
        <v>0.92923704135119389</v>
      </c>
      <c r="K31" s="410">
        <f>IF(ISNUMBER((Tasas!E31-Datos!BG31)/Datos!BG31),(Tasas!E31-Datos!BG31)/Datos!BG31," - ")</f>
        <v>0.29835900256692327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8.8645308962513187</v>
      </c>
      <c r="E33" s="303">
        <f t="shared" si="1"/>
        <v>7.0262722493279686</v>
      </c>
      <c r="F33" s="303">
        <f t="shared" si="1"/>
        <v>3.9446682592602191</v>
      </c>
      <c r="G33" s="304">
        <f t="shared" si="1"/>
        <v>13.779455015614433</v>
      </c>
      <c r="H33" s="310">
        <f t="shared" si="1"/>
        <v>63.063196367700165</v>
      </c>
      <c r="I33" s="302">
        <f t="shared" si="1"/>
        <v>1.2725196765495101</v>
      </c>
      <c r="J33" s="303">
        <f t="shared" si="1"/>
        <v>0.52695082572277629</v>
      </c>
      <c r="K33" s="304">
        <f t="shared" si="1"/>
        <v>0.65184947626883982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m43udAMwURekymLXT86YPJdML1/LiUDyZpRGQ/WTsFHYhB08io2R6ZPM46V1nmoRuhcm17DX8THZ9MTK3PDNA==" saltValue="CwvU+ScSIy65Mmf8jzZay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